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242288\OneDrive - Standard Bank\Documents\"/>
    </mc:Choice>
  </mc:AlternateContent>
  <xr:revisionPtr revIDLastSave="0" documentId="8_{15F70506-F0AC-4DB4-81E0-2E81472441CF}" xr6:coauthVersionLast="47" xr6:coauthVersionMax="47" xr10:uidLastSave="{00000000-0000-0000-0000-000000000000}"/>
  <bookViews>
    <workbookView xWindow="-110" yWindow="-110" windowWidth="19420" windowHeight="11500" xr2:uid="{2F2DEE0B-5333-48FA-9B72-8DF70B262833}"/>
  </bookViews>
  <sheets>
    <sheet name="Current rate" sheetId="1" r:id="rId1"/>
    <sheet name="C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2" l="1"/>
  <c r="G43" i="2"/>
  <c r="H43" i="2" s="1"/>
  <c r="C43" i="2" s="1"/>
  <c r="D43" i="2"/>
  <c r="J42" i="2"/>
  <c r="G42" i="2"/>
  <c r="H42" i="2" s="1"/>
  <c r="C42" i="2" s="1"/>
  <c r="D42" i="2"/>
  <c r="J41" i="2"/>
  <c r="H41" i="2"/>
  <c r="C41" i="2" s="1"/>
  <c r="G41" i="2"/>
  <c r="D41" i="2"/>
  <c r="J40" i="2"/>
  <c r="G40" i="2"/>
  <c r="H40" i="2" s="1"/>
  <c r="C40" i="2" s="1"/>
  <c r="D40" i="2"/>
  <c r="J39" i="2"/>
  <c r="G39" i="2"/>
  <c r="H39" i="2" s="1"/>
  <c r="C39" i="2" s="1"/>
  <c r="D39" i="2"/>
  <c r="J38" i="2"/>
  <c r="G38" i="2"/>
  <c r="H38" i="2" s="1"/>
  <c r="C38" i="2" s="1"/>
  <c r="D38" i="2"/>
  <c r="J37" i="2"/>
  <c r="G37" i="2"/>
  <c r="H37" i="2" s="1"/>
  <c r="C37" i="2" s="1"/>
  <c r="D37" i="2"/>
  <c r="J36" i="2"/>
  <c r="G36" i="2"/>
  <c r="H36" i="2" s="1"/>
  <c r="C36" i="2" s="1"/>
  <c r="D36" i="2"/>
  <c r="J35" i="2"/>
  <c r="G35" i="2"/>
  <c r="H35" i="2" s="1"/>
  <c r="C35" i="2" s="1"/>
  <c r="D35" i="2"/>
  <c r="J34" i="2"/>
  <c r="G34" i="2"/>
  <c r="H34" i="2" s="1"/>
  <c r="C34" i="2" s="1"/>
  <c r="D34" i="2"/>
  <c r="J33" i="2"/>
  <c r="G33" i="2"/>
  <c r="H33" i="2" s="1"/>
  <c r="C33" i="2" s="1"/>
  <c r="D33" i="2"/>
  <c r="J32" i="2"/>
  <c r="G32" i="2"/>
  <c r="H32" i="2" s="1"/>
  <c r="C32" i="2" s="1"/>
  <c r="D32" i="2"/>
  <c r="J31" i="2"/>
  <c r="G31" i="2"/>
  <c r="H31" i="2" s="1"/>
  <c r="C31" i="2" s="1"/>
  <c r="D31" i="2"/>
  <c r="J30" i="2"/>
  <c r="G30" i="2"/>
  <c r="H30" i="2" s="1"/>
  <c r="C30" i="2" s="1"/>
  <c r="D30" i="2"/>
  <c r="J29" i="2"/>
  <c r="H29" i="2"/>
  <c r="C29" i="2" s="1"/>
  <c r="G29" i="2"/>
  <c r="D29" i="2"/>
  <c r="J28" i="2"/>
  <c r="G28" i="2"/>
  <c r="H28" i="2" s="1"/>
  <c r="C28" i="2" s="1"/>
  <c r="D28" i="2"/>
  <c r="J27" i="2"/>
  <c r="G27" i="2"/>
  <c r="H27" i="2" s="1"/>
  <c r="C27" i="2" s="1"/>
  <c r="D27" i="2"/>
  <c r="J26" i="2"/>
  <c r="G26" i="2"/>
  <c r="H26" i="2" s="1"/>
  <c r="C26" i="2" s="1"/>
  <c r="D26" i="2"/>
  <c r="J25" i="2"/>
  <c r="G25" i="2"/>
  <c r="H25" i="2" s="1"/>
  <c r="C25" i="2" s="1"/>
  <c r="D25" i="2"/>
  <c r="J24" i="2"/>
  <c r="G24" i="2"/>
  <c r="H24" i="2" s="1"/>
  <c r="C24" i="2" s="1"/>
  <c r="D24" i="2"/>
  <c r="J23" i="2"/>
  <c r="G23" i="2"/>
  <c r="H23" i="2" s="1"/>
  <c r="C23" i="2" s="1"/>
  <c r="D23" i="2"/>
  <c r="J22" i="2"/>
  <c r="G22" i="2"/>
  <c r="H22" i="2" s="1"/>
  <c r="C22" i="2" s="1"/>
  <c r="D22" i="2"/>
  <c r="J21" i="2"/>
  <c r="G21" i="2"/>
  <c r="H21" i="2" s="1"/>
  <c r="C21" i="2" s="1"/>
  <c r="D21" i="2"/>
  <c r="J20" i="2"/>
  <c r="G20" i="2"/>
  <c r="H20" i="2" s="1"/>
  <c r="C20" i="2" s="1"/>
  <c r="D20" i="2"/>
  <c r="J19" i="2"/>
  <c r="G19" i="2"/>
  <c r="H19" i="2" s="1"/>
  <c r="C19" i="2" s="1"/>
  <c r="D19" i="2"/>
  <c r="J18" i="2"/>
  <c r="G18" i="2"/>
  <c r="H18" i="2" s="1"/>
  <c r="C18" i="2" s="1"/>
  <c r="D18" i="2"/>
  <c r="J17" i="2"/>
  <c r="H17" i="2"/>
  <c r="C17" i="2" s="1"/>
  <c r="G17" i="2"/>
  <c r="D17" i="2"/>
  <c r="J16" i="2"/>
  <c r="G16" i="2"/>
  <c r="H16" i="2" s="1"/>
  <c r="C16" i="2" s="1"/>
  <c r="D16" i="2"/>
  <c r="J15" i="2"/>
  <c r="G15" i="2"/>
  <c r="H15" i="2" s="1"/>
  <c r="C15" i="2" s="1"/>
  <c r="D15" i="2"/>
  <c r="J14" i="2"/>
  <c r="G14" i="2"/>
  <c r="H14" i="2" s="1"/>
  <c r="C14" i="2" s="1"/>
  <c r="D14" i="2"/>
  <c r="J13" i="2"/>
  <c r="G13" i="2"/>
  <c r="H13" i="2" s="1"/>
  <c r="C13" i="2" s="1"/>
  <c r="D13" i="2"/>
  <c r="J12" i="2"/>
  <c r="G12" i="2"/>
  <c r="H12" i="2" s="1"/>
  <c r="C12" i="2" s="1"/>
  <c r="D12" i="2"/>
  <c r="J11" i="2"/>
  <c r="G11" i="2"/>
  <c r="H11" i="2" s="1"/>
  <c r="C11" i="2" s="1"/>
  <c r="D11" i="2"/>
  <c r="J10" i="2"/>
  <c r="G10" i="2"/>
  <c r="H10" i="2" s="1"/>
  <c r="C10" i="2" s="1"/>
  <c r="D10" i="2"/>
  <c r="J9" i="2"/>
  <c r="G9" i="2"/>
  <c r="H9" i="2" s="1"/>
  <c r="C9" i="2" s="1"/>
  <c r="D9" i="2"/>
  <c r="J8" i="2"/>
  <c r="G8" i="2"/>
  <c r="H8" i="2" s="1"/>
  <c r="C8" i="2" s="1"/>
  <c r="D8" i="2"/>
  <c r="J7" i="2"/>
  <c r="G7" i="2"/>
  <c r="H7" i="2" s="1"/>
  <c r="C7" i="2" s="1"/>
  <c r="D7" i="2"/>
  <c r="J6" i="2"/>
  <c r="D6" i="2"/>
  <c r="H6" i="2" s="1"/>
  <c r="C6" i="2"/>
  <c r="K56" i="1"/>
  <c r="P43" i="1"/>
  <c r="B43" i="1"/>
  <c r="J41" i="1"/>
  <c r="H41" i="1"/>
  <c r="G41" i="1"/>
  <c r="K41" i="1" s="1"/>
  <c r="P39" i="1"/>
  <c r="T39" i="1" s="1"/>
  <c r="K39" i="1"/>
  <c r="G39" i="1"/>
  <c r="J39" i="1" s="1"/>
  <c r="C39" i="1"/>
  <c r="T37" i="1"/>
  <c r="P37" i="1"/>
  <c r="S37" i="1" s="1"/>
  <c r="K37" i="1"/>
  <c r="J37" i="1"/>
  <c r="H37" i="1"/>
  <c r="G37" i="1"/>
  <c r="G35" i="1"/>
  <c r="P35" i="1" s="1"/>
  <c r="X34" i="1"/>
  <c r="P33" i="1"/>
  <c r="S33" i="1" s="1"/>
  <c r="J33" i="1"/>
  <c r="H33" i="1"/>
  <c r="K33" i="1" s="1"/>
  <c r="G33" i="1"/>
  <c r="X32" i="1" s="1"/>
  <c r="P31" i="1"/>
  <c r="T31" i="1" s="1"/>
  <c r="K31" i="1"/>
  <c r="G31" i="1"/>
  <c r="X30" i="1" s="1"/>
  <c r="K29" i="1"/>
  <c r="J29" i="1"/>
  <c r="H29" i="1"/>
  <c r="G29" i="1"/>
  <c r="P29" i="1" s="1"/>
  <c r="C29" i="1"/>
  <c r="L49" i="1" s="1"/>
  <c r="X28" i="1"/>
  <c r="P27" i="1"/>
  <c r="S27" i="1" s="1"/>
  <c r="K27" i="1"/>
  <c r="J27" i="1"/>
  <c r="H27" i="1"/>
  <c r="G27" i="1"/>
  <c r="K25" i="1"/>
  <c r="G25" i="1"/>
  <c r="P25" i="1" s="1"/>
  <c r="C23" i="1"/>
  <c r="C41" i="1" s="1"/>
  <c r="B23" i="1"/>
  <c r="B16" i="1"/>
  <c r="Q25" i="1" l="1"/>
  <c r="T25" i="1"/>
  <c r="S25" i="1"/>
  <c r="Q29" i="1"/>
  <c r="T29" i="1"/>
  <c r="S29" i="1"/>
  <c r="S35" i="1"/>
  <c r="Q35" i="1"/>
  <c r="T35" i="1"/>
  <c r="B39" i="1"/>
  <c r="B33" i="1"/>
  <c r="L51" i="1" s="1"/>
  <c r="B37" i="1"/>
  <c r="Y24" i="1"/>
  <c r="Q27" i="1"/>
  <c r="T27" i="1" s="1"/>
  <c r="H31" i="1"/>
  <c r="C33" i="1"/>
  <c r="C37" i="1"/>
  <c r="H39" i="1"/>
  <c r="X26" i="1"/>
  <c r="J31" i="1"/>
  <c r="C31" i="1" s="1"/>
  <c r="P41" i="1"/>
  <c r="S39" i="1"/>
  <c r="C25" i="1"/>
  <c r="L48" i="1" s="1"/>
  <c r="Q31" i="1"/>
  <c r="H35" i="1"/>
  <c r="Q39" i="1"/>
  <c r="S31" i="1"/>
  <c r="H25" i="1"/>
  <c r="C27" i="1"/>
  <c r="Q33" i="1"/>
  <c r="T33" i="1" s="1"/>
  <c r="K35" i="1"/>
  <c r="B35" i="1" s="1"/>
  <c r="Q37" i="1"/>
  <c r="B27" i="1"/>
  <c r="L52" i="1" s="1"/>
  <c r="J35" i="1"/>
  <c r="C35" i="1" s="1"/>
  <c r="J25" i="1"/>
  <c r="B25" i="1" s="1"/>
  <c r="B29" i="1"/>
  <c r="B41" i="1"/>
  <c r="L50" i="1" s="1"/>
  <c r="B31" i="1"/>
  <c r="Y32" i="1" l="1"/>
  <c r="Y26" i="1"/>
  <c r="Y30" i="1"/>
  <c r="Y28" i="1"/>
  <c r="AA24" i="1"/>
  <c r="Y34" i="1"/>
  <c r="T41" i="1"/>
  <c r="S41" i="1"/>
  <c r="Q41" i="1"/>
  <c r="AA32" i="1" l="1"/>
  <c r="AA30" i="1"/>
  <c r="AA26" i="1"/>
  <c r="AB24" i="1"/>
  <c r="AA28" i="1"/>
  <c r="AA34" i="1"/>
  <c r="AB30" i="1" l="1"/>
  <c r="AB32" i="1"/>
  <c r="AB28" i="1"/>
  <c r="AB26" i="1"/>
  <c r="AB34" i="1"/>
</calcChain>
</file>

<file path=xl/sharedStrings.xml><?xml version="1.0" encoding="utf-8"?>
<sst xmlns="http://schemas.openxmlformats.org/spreadsheetml/2006/main" count="151" uniqueCount="101">
  <si>
    <t xml:space="preserve"> 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</si>
  <si>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</si>
  <si>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</si>
  <si>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</si>
  <si>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</si>
  <si>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</si>
  <si>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</si>
  <si>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</si>
  <si>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</si>
  <si>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</si>
  <si>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</si>
  <si>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</si>
  <si>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</si>
  <si>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</si>
  <si>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</si>
  <si>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</si>
  <si>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</si>
  <si>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</si>
  <si>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</si>
  <si>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</si>
  <si>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</si>
  <si>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</si>
  <si>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</si>
  <si>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</si>
  <si>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</si>
  <si>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</si>
  <si>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</si>
  <si>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</si>
  <si>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</si>
  <si>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</si>
  <si>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</si>
  <si>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</si>
  <si>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</si>
  <si>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</si>
  <si>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</si>
  <si>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</si>
  <si>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</si>
  <si>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</si>
  <si>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</si>
  <si>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</si>
  <si>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</si>
  <si>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</si>
  <si>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</si>
  <si>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</si>
  <si>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</si>
  <si>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</si>
  <si>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</si>
  <si>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</si>
  <si>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</si>
  <si>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</si>
  <si>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</si>
  <si>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</si>
  <si>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CBN</t>
  </si>
  <si>
    <t>Form M Rate</t>
  </si>
  <si>
    <t>CNY/NGN</t>
  </si>
  <si>
    <t>SOURCE: https://customs.gov.ng/</t>
  </si>
  <si>
    <t>PREVIOUS DAY NAFEX FIX</t>
  </si>
  <si>
    <t xml:space="preserve">MASTERCARD RATES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</si>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</sst>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 * #,##0.00_ ;_ * \-#,##0.00_ ;_ * &quot;-&quot;??_ ;_ @_ "/>
    <numFmt numFmtId="167" formatCode="_(* #,##0_);_(* \(#,##0\);_(* &quot;-&quot;??_);_(@_)"/>
    <numFmt numFmtId="168" formatCode="0.0000"/>
    <numFmt numFmtId="169" formatCode="_(* #,##0.00000_);_(* \(#,##0.00000\);_(* &quot;-&quot;??_);_(@_)"/>
    <numFmt numFmtId="170" formatCode="_-* #,##0.00000_-;\-* #,##0.00000_-;_-* &quot;-&quot;??_-;_-@_-"/>
    <numFmt numFmtId="171" formatCode="_(* #,##0.0000000_);_(* \(#,##0.0000000\);_(* &quot;-&quot;??_);_(@_)"/>
    <numFmt numFmtId="172" formatCode="0.00000"/>
    <numFmt numFmtId="173" formatCode="_-* #,##0.0000_-;\-* #,##0.0000_-;_-* &quot;-&quot;??_-;_-@_-"/>
    <numFmt numFmtId="174" formatCode="0.000"/>
    <numFmt numFmtId="175" formatCode="_ * #,##0.0000_ ;_ * \-#,##0.0000_ ;_ * &quot;-&quot;??_ ;_ @_ "/>
    <numFmt numFmtId="176" formatCode="_(* #,##0.000_);_(* \(#,##0.000\);_(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4" fillId="0" borderId="1" xfId="3" applyFont="1" applyBorder="1" applyAlignment="1" applyProtection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7" fontId="5" fillId="2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 applyAlignment="1"/>
    <xf numFmtId="0" fontId="14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8" fontId="5" fillId="0" borderId="1" xfId="0" applyNumberFormat="1" applyFont="1" applyBorder="1"/>
    <xf numFmtId="16" fontId="14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0" fontId="15" fillId="0" borderId="1" xfId="0" applyFont="1" applyBorder="1"/>
    <xf numFmtId="43" fontId="5" fillId="0" borderId="1" xfId="1" applyFont="1" applyBorder="1"/>
    <xf numFmtId="43" fontId="5" fillId="0" borderId="1" xfId="1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170" fontId="5" fillId="0" borderId="1" xfId="1" applyNumberFormat="1" applyFont="1" applyBorder="1"/>
    <xf numFmtId="168" fontId="5" fillId="0" borderId="1" xfId="0" applyNumberFormat="1" applyFont="1" applyBorder="1" applyAlignment="1">
      <alignment horizontal="right"/>
    </xf>
    <xf numFmtId="170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/>
    <xf numFmtId="171" fontId="15" fillId="0" borderId="1" xfId="0" applyNumberFormat="1" applyFont="1" applyBorder="1" applyAlignment="1">
      <alignment horizontal="right"/>
    </xf>
    <xf numFmtId="172" fontId="5" fillId="0" borderId="1" xfId="1" applyNumberFormat="1" applyFont="1" applyBorder="1"/>
    <xf numFmtId="43" fontId="15" fillId="0" borderId="1" xfId="1" applyFont="1" applyBorder="1" applyAlignment="1">
      <alignment horizontal="right"/>
    </xf>
    <xf numFmtId="165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Border="1"/>
    <xf numFmtId="165" fontId="16" fillId="2" borderId="1" xfId="1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6" fontId="5" fillId="0" borderId="1" xfId="1" applyNumberFormat="1" applyFont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9" fillId="0" borderId="1" xfId="1" applyFont="1" applyBorder="1" applyAlignment="1"/>
    <xf numFmtId="43" fontId="5" fillId="0" borderId="1" xfId="1" applyFont="1" applyBorder="1" applyAlignment="1"/>
    <xf numFmtId="43" fontId="13" fillId="0" borderId="1" xfId="1" applyFont="1" applyFill="1" applyBorder="1" applyAlignment="1">
      <alignment horizontal="right"/>
    </xf>
    <xf numFmtId="43" fontId="18" fillId="0" borderId="1" xfId="1" applyFont="1" applyBorder="1"/>
    <xf numFmtId="43" fontId="9" fillId="0" borderId="1" xfId="1" applyFont="1" applyFill="1" applyBorder="1" applyAlignment="1">
      <alignment horizontal="center"/>
    </xf>
    <xf numFmtId="12" fontId="9" fillId="0" borderId="1" xfId="1" applyNumberFormat="1" applyFont="1" applyFill="1" applyBorder="1"/>
    <xf numFmtId="169" fontId="5" fillId="0" borderId="1" xfId="1" applyNumberFormat="1" applyFont="1" applyFill="1" applyBorder="1"/>
    <xf numFmtId="165" fontId="5" fillId="0" borderId="1" xfId="1" applyNumberFormat="1" applyFont="1" applyFill="1" applyBorder="1"/>
    <xf numFmtId="170" fontId="5" fillId="0" borderId="1" xfId="1" applyNumberFormat="1" applyFont="1" applyFill="1" applyBorder="1"/>
    <xf numFmtId="165" fontId="5" fillId="0" borderId="1" xfId="1" applyNumberFormat="1" applyFont="1" applyBorder="1"/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19" fillId="0" borderId="1" xfId="0" applyNumberFormat="1" applyFont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3" borderId="1" xfId="1" applyFont="1" applyFill="1" applyBorder="1" applyAlignment="1">
      <alignment horizontal="left"/>
    </xf>
    <xf numFmtId="43" fontId="9" fillId="3" borderId="1" xfId="1" applyFont="1" applyFill="1" applyBorder="1"/>
    <xf numFmtId="173" fontId="15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43" fontId="9" fillId="0" borderId="1" xfId="1" applyFont="1" applyBorder="1"/>
    <xf numFmtId="0" fontId="20" fillId="0" borderId="1" xfId="0" applyFont="1" applyBorder="1"/>
    <xf numFmtId="43" fontId="5" fillId="0" borderId="5" xfId="1" applyFont="1" applyBorder="1"/>
    <xf numFmtId="0" fontId="20" fillId="0" borderId="2" xfId="0" applyFont="1" applyBorder="1"/>
    <xf numFmtId="43" fontId="5" fillId="0" borderId="4" xfId="1" applyFont="1" applyBorder="1"/>
    <xf numFmtId="43" fontId="5" fillId="0" borderId="2" xfId="1" applyFont="1" applyBorder="1"/>
    <xf numFmtId="0" fontId="21" fillId="0" borderId="1" xfId="0" applyFont="1" applyBorder="1" applyAlignment="1">
      <alignment vertical="center"/>
    </xf>
    <xf numFmtId="43" fontId="1" fillId="0" borderId="1" xfId="1" applyFont="1" applyBorder="1"/>
    <xf numFmtId="3" fontId="22" fillId="0" borderId="1" xfId="0" applyNumberFormat="1" applyFont="1" applyBorder="1"/>
    <xf numFmtId="0" fontId="5" fillId="0" borderId="2" xfId="0" applyFont="1" applyBorder="1"/>
    <xf numFmtId="0" fontId="1" fillId="0" borderId="4" xfId="0" applyFont="1" applyBorder="1"/>
    <xf numFmtId="3" fontId="5" fillId="0" borderId="1" xfId="0" applyNumberFormat="1" applyFont="1" applyBorder="1"/>
    <xf numFmtId="0" fontId="5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4" fontId="1" fillId="0" borderId="1" xfId="0" applyNumberFormat="1" applyFont="1" applyBorder="1"/>
    <xf numFmtId="0" fontId="0" fillId="0" borderId="1" xfId="0" applyBorder="1"/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3" fillId="7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9" fillId="8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166" fontId="26" fillId="8" borderId="1" xfId="0" applyNumberFormat="1" applyFont="1" applyFill="1" applyBorder="1"/>
    <xf numFmtId="166" fontId="27" fillId="3" borderId="1" xfId="0" applyNumberFormat="1" applyFont="1" applyFill="1" applyBorder="1"/>
    <xf numFmtId="43" fontId="26" fillId="7" borderId="1" xfId="1" applyFont="1" applyFill="1" applyBorder="1" applyAlignment="1">
      <alignment horizontal="right"/>
    </xf>
    <xf numFmtId="165" fontId="28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5" fontId="26" fillId="0" borderId="1" xfId="1" applyNumberFormat="1" applyFont="1" applyBorder="1" applyAlignment="1">
      <alignment horizontal="right"/>
    </xf>
    <xf numFmtId="175" fontId="26" fillId="3" borderId="1" xfId="0" applyNumberFormat="1" applyFont="1" applyFill="1" applyBorder="1"/>
    <xf numFmtId="175" fontId="26" fillId="7" borderId="1" xfId="0" applyNumberFormat="1" applyFont="1" applyFill="1" applyBorder="1"/>
    <xf numFmtId="165" fontId="26" fillId="7" borderId="1" xfId="1" applyNumberFormat="1" applyFont="1" applyFill="1" applyBorder="1" applyAlignment="1">
      <alignment horizontal="right"/>
    </xf>
    <xf numFmtId="168" fontId="28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75" fontId="26" fillId="0" borderId="1" xfId="0" applyNumberFormat="1" applyFont="1" applyBorder="1"/>
    <xf numFmtId="176" fontId="0" fillId="0" borderId="1" xfId="0" applyNumberFormat="1" applyBorder="1"/>
    <xf numFmtId="165" fontId="26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75" fontId="29" fillId="0" borderId="1" xfId="0" applyNumberFormat="1" applyFont="1" applyBorder="1"/>
    <xf numFmtId="175" fontId="29" fillId="7" borderId="1" xfId="0" applyNumberFormat="1" applyFont="1" applyFill="1" applyBorder="1"/>
    <xf numFmtId="165" fontId="29" fillId="7" borderId="1" xfId="1" applyNumberFormat="1" applyFont="1" applyFill="1" applyBorder="1" applyAlignment="1">
      <alignment horizontal="right"/>
    </xf>
    <xf numFmtId="0" fontId="8" fillId="0" borderId="1" xfId="0" applyFont="1" applyBorder="1"/>
    <xf numFmtId="0" fontId="25" fillId="5" borderId="1" xfId="0" applyFont="1" applyFill="1" applyBorder="1" applyAlignment="1">
      <alignment horizontal="right"/>
    </xf>
    <xf numFmtId="14" fontId="0" fillId="0" borderId="1" xfId="0" applyNumberFormat="1" applyBorder="1"/>
    <xf numFmtId="43" fontId="26" fillId="0" borderId="1" xfId="1" applyFont="1" applyFill="1" applyBorder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242288\AppData\Local\Microsoft\Olk\Attachments\ooa-c2e37fa3-6d10-4bf8-8a66-c2b7c4c1bb52\d8ada63a1b73a3e38230af27f29d080a2d024f4330495d2f41b7e6f761e6010b\CURRENT%20RATE%20GUIDE%20-%20February%203rd%202026.xlsx" TargetMode="External"/><Relationship Id="rId1" Type="http://schemas.openxmlformats.org/officeDocument/2006/relationships/externalLinkPath" Target="file:///C:\Users\A242288\AppData\Local\Microsoft\Olk\Attachments\ooa-c2e37fa3-6d10-4bf8-8a66-c2b7c4c1bb52\d8ada63a1b73a3e38230af27f29d080a2d024f4330495d2f41b7e6f761e6010b\CURRENT%20RATE%20GUIDE%20-%20February%203rd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1405</v>
          </cell>
        </row>
        <row r="7">
          <cell r="D7">
            <v>1.1821999999999999</v>
          </cell>
          <cell r="G7">
            <v>1375</v>
          </cell>
          <cell r="H7">
            <v>1405</v>
          </cell>
        </row>
        <row r="8">
          <cell r="D8">
            <v>155.33000000000001</v>
          </cell>
        </row>
        <row r="9">
          <cell r="D9">
            <v>1.3706</v>
          </cell>
          <cell r="G9">
            <v>1.1820999999999999</v>
          </cell>
        </row>
        <row r="10">
          <cell r="D10">
            <v>0.77710000000000001</v>
          </cell>
          <cell r="G10">
            <v>155.32</v>
          </cell>
        </row>
        <row r="11">
          <cell r="D11">
            <v>15.918799999999999</v>
          </cell>
          <cell r="G11">
            <v>1.3705000000000001</v>
          </cell>
        </row>
        <row r="12">
          <cell r="D12">
            <v>6.3179999999999996</v>
          </cell>
          <cell r="G12">
            <v>0.77700000000000002</v>
          </cell>
        </row>
        <row r="13">
          <cell r="D13">
            <v>1.3653999999999999</v>
          </cell>
          <cell r="G13">
            <v>15.9117</v>
          </cell>
        </row>
        <row r="14">
          <cell r="D14">
            <v>0.7046</v>
          </cell>
          <cell r="G14">
            <v>6.3175999999999997</v>
          </cell>
        </row>
        <row r="15">
          <cell r="D15">
            <v>6.9318999999999997</v>
          </cell>
          <cell r="G15">
            <v>1.3653</v>
          </cell>
        </row>
        <row r="16">
          <cell r="D16">
            <v>6.9363999999999999</v>
          </cell>
          <cell r="G16">
            <v>0.70450000000000002</v>
          </cell>
        </row>
        <row r="17">
          <cell r="D17">
            <v>10.98</v>
          </cell>
          <cell r="G17">
            <v>6.9316000000000004</v>
          </cell>
        </row>
        <row r="18">
          <cell r="D18">
            <v>43.494</v>
          </cell>
        </row>
        <row r="19">
          <cell r="D19">
            <v>3.5682999999999998</v>
          </cell>
          <cell r="G19">
            <v>1396.67</v>
          </cell>
        </row>
        <row r="20">
          <cell r="D20">
            <v>8.9179999999999993</v>
          </cell>
        </row>
        <row r="21">
          <cell r="D21">
            <v>129.07</v>
          </cell>
        </row>
        <row r="22">
          <cell r="D22">
            <v>554.89890000000003</v>
          </cell>
        </row>
        <row r="23">
          <cell r="D23">
            <v>90.37</v>
          </cell>
        </row>
        <row r="24">
          <cell r="D24">
            <v>101.4757</v>
          </cell>
        </row>
        <row r="25">
          <cell r="D25">
            <v>3.673</v>
          </cell>
        </row>
        <row r="26">
          <cell r="D26">
            <v>1.2679</v>
          </cell>
        </row>
        <row r="27">
          <cell r="D27">
            <v>3570</v>
          </cell>
        </row>
        <row r="28">
          <cell r="D28">
            <v>309.43</v>
          </cell>
        </row>
        <row r="29">
          <cell r="D29">
            <v>3.0914999999999999</v>
          </cell>
        </row>
        <row r="30">
          <cell r="D30">
            <v>2588.5</v>
          </cell>
        </row>
        <row r="31">
          <cell r="D31">
            <v>13.8504</v>
          </cell>
        </row>
        <row r="32">
          <cell r="D32">
            <v>6.7596999999999996</v>
          </cell>
        </row>
        <row r="33">
          <cell r="D33">
            <v>46.07</v>
          </cell>
        </row>
        <row r="34">
          <cell r="D34">
            <v>554.89400000000001</v>
          </cell>
        </row>
        <row r="35">
          <cell r="D35">
            <v>4.3122999999999996</v>
          </cell>
        </row>
        <row r="36">
          <cell r="D36">
            <v>24011.671900000001</v>
          </cell>
        </row>
        <row r="37">
          <cell r="D37">
            <v>43.25</v>
          </cell>
        </row>
        <row r="38">
          <cell r="D38">
            <v>2.7</v>
          </cell>
        </row>
        <row r="39">
          <cell r="D39">
            <v>3227.47</v>
          </cell>
        </row>
        <row r="40">
          <cell r="D40">
            <v>58.899000000000001</v>
          </cell>
        </row>
        <row r="41">
          <cell r="D41">
            <v>26020</v>
          </cell>
        </row>
        <row r="42">
          <cell r="D42">
            <v>7.8132999999999999</v>
          </cell>
        </row>
        <row r="43">
          <cell r="D43">
            <v>3.7502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F75F9-F0EF-49C1-9330-841CC81F3967}">
  <dimension ref="A1:AI93"/>
  <sheetViews>
    <sheetView tabSelected="1" workbookViewId="0">
      <selection activeCell="B11" sqref="B11"/>
    </sheetView>
  </sheetViews>
  <sheetFormatPr defaultColWidth="8.90625" defaultRowHeight="14.5" x14ac:dyDescent="0.35"/>
  <cols>
    <col min="1" max="1" width="24.453125" style="4" customWidth="1"/>
    <col min="2" max="2" width="20" style="4" customWidth="1"/>
    <col min="3" max="3" width="29.90625" style="4" customWidth="1"/>
    <col min="4" max="4" width="26" style="4" customWidth="1"/>
    <col min="5" max="5" width="15.36328125" style="4" customWidth="1"/>
    <col min="6" max="6" width="21.453125" style="4" customWidth="1"/>
    <col min="7" max="7" width="27.08984375" style="57" hidden="1" customWidth="1"/>
    <col min="8" max="8" width="11.36328125" style="57" hidden="1" customWidth="1"/>
    <col min="9" max="9" width="2.36328125" style="57" hidden="1" customWidth="1"/>
    <col min="10" max="10" width="36" style="57" customWidth="1"/>
    <col min="11" max="11" width="25.453125" style="57" bestFit="1" customWidth="1"/>
    <col min="12" max="12" width="0.90625" style="4" customWidth="1"/>
    <col min="13" max="13" width="27.90625" style="4" customWidth="1"/>
    <col min="14" max="14" width="0.6328125" style="4" customWidth="1"/>
    <col min="15" max="15" width="21.453125" style="4" customWidth="1"/>
    <col min="16" max="16" width="27.08984375" style="57" hidden="1" customWidth="1"/>
    <col min="17" max="17" width="11.36328125" style="57" hidden="1" customWidth="1"/>
    <col min="18" max="18" width="2.36328125" style="57" hidden="1" customWidth="1"/>
    <col min="19" max="19" width="36" style="57" customWidth="1"/>
    <col min="20" max="20" width="25.453125" style="57" bestFit="1" customWidth="1"/>
    <col min="21" max="21" width="0.90625" style="4" customWidth="1"/>
    <col min="22" max="22" width="27.90625" style="4" customWidth="1"/>
    <col min="23" max="23" width="24.08984375" style="4" customWidth="1"/>
    <col min="24" max="24" width="11.36328125" style="4" hidden="1" customWidth="1"/>
    <col min="25" max="25" width="11.90625" style="4" customWidth="1"/>
    <col min="26" max="26" width="4.453125" style="4" customWidth="1"/>
    <col min="27" max="27" width="20" style="4" bestFit="1" customWidth="1"/>
    <col min="28" max="28" width="18.54296875" style="4" customWidth="1"/>
    <col min="29" max="29" width="16.36328125" style="4" customWidth="1"/>
    <col min="30" max="30" width="28.6328125" style="4" hidden="1" customWidth="1"/>
    <col min="31" max="16384" width="8.90625" style="4"/>
  </cols>
  <sheetData>
    <row r="1" spans="1:22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2"/>
      <c r="M1" s="2"/>
      <c r="O1" s="2"/>
      <c r="P1" s="3"/>
      <c r="Q1" s="3"/>
      <c r="R1" s="3"/>
      <c r="S1" s="3"/>
      <c r="T1" s="3"/>
      <c r="U1" s="2"/>
      <c r="V1" s="2"/>
    </row>
    <row r="2" spans="1:22" x14ac:dyDescent="0.35">
      <c r="A2" s="5" t="s">
        <v>1</v>
      </c>
      <c r="B2" s="6"/>
      <c r="C2" s="7"/>
      <c r="D2" s="7"/>
      <c r="E2" s="2"/>
      <c r="F2" s="2"/>
      <c r="G2" s="3"/>
      <c r="H2" s="3"/>
      <c r="I2" s="1"/>
      <c r="J2" s="3"/>
      <c r="K2" s="3"/>
      <c r="L2" s="2"/>
      <c r="M2" s="2"/>
      <c r="O2" s="2"/>
      <c r="P2" s="3"/>
      <c r="Q2" s="3"/>
      <c r="R2" s="1"/>
      <c r="S2" s="3"/>
      <c r="T2" s="3"/>
      <c r="U2" s="2"/>
      <c r="V2" s="2"/>
    </row>
    <row r="3" spans="1:22" x14ac:dyDescent="0.35">
      <c r="A3" s="5" t="s">
        <v>2</v>
      </c>
      <c r="B3" s="6"/>
      <c r="C3" s="7"/>
      <c r="D3" s="7"/>
      <c r="E3" s="2"/>
      <c r="F3" s="2"/>
      <c r="G3" s="3"/>
      <c r="H3" s="3"/>
      <c r="I3" s="3"/>
      <c r="J3" s="8"/>
      <c r="K3" s="3"/>
      <c r="L3" s="2"/>
      <c r="M3" s="2"/>
      <c r="O3" s="2"/>
      <c r="P3" s="3"/>
      <c r="Q3" s="3"/>
      <c r="R3" s="3"/>
      <c r="S3" s="8"/>
      <c r="T3" s="3"/>
      <c r="U3" s="2"/>
      <c r="V3" s="2"/>
    </row>
    <row r="4" spans="1:22" x14ac:dyDescent="0.35">
      <c r="A4" s="9" t="s">
        <v>3</v>
      </c>
      <c r="B4" s="2"/>
      <c r="C4" s="2"/>
      <c r="D4" s="2"/>
      <c r="E4" s="2"/>
      <c r="F4" s="2"/>
      <c r="G4" s="3"/>
      <c r="H4" s="3"/>
      <c r="I4" s="3" t="s">
        <v>0</v>
      </c>
      <c r="J4" s="8"/>
      <c r="K4" s="3"/>
      <c r="L4" s="2"/>
      <c r="M4" s="2"/>
      <c r="O4" s="2"/>
      <c r="P4" s="3"/>
      <c r="Q4" s="3"/>
      <c r="R4" s="3" t="s">
        <v>0</v>
      </c>
      <c r="S4" s="8"/>
      <c r="T4" s="3"/>
      <c r="U4" s="2"/>
      <c r="V4" s="2"/>
    </row>
    <row r="5" spans="1:22" x14ac:dyDescent="0.35">
      <c r="A5" s="10"/>
      <c r="B5" s="11" t="s">
        <v>4</v>
      </c>
      <c r="C5" s="10"/>
      <c r="D5" s="10"/>
      <c r="F5" s="10"/>
      <c r="G5" s="10"/>
      <c r="H5" s="10" t="s">
        <v>0</v>
      </c>
      <c r="I5" s="3"/>
      <c r="J5" s="8"/>
      <c r="K5" s="3"/>
      <c r="L5" s="2"/>
      <c r="M5" s="2"/>
      <c r="O5" s="10"/>
      <c r="P5" s="10"/>
      <c r="Q5" s="10" t="s">
        <v>0</v>
      </c>
      <c r="R5" s="3"/>
      <c r="S5" s="8"/>
      <c r="T5" s="3"/>
      <c r="U5" s="2"/>
      <c r="V5" s="2"/>
    </row>
    <row r="6" spans="1:22" x14ac:dyDescent="0.35">
      <c r="A6" s="12"/>
      <c r="B6" s="13" t="s">
        <v>5</v>
      </c>
      <c r="C6" s="14"/>
      <c r="D6" s="14"/>
      <c r="F6" s="10"/>
      <c r="G6" s="10"/>
      <c r="H6" s="10"/>
      <c r="I6" s="3"/>
      <c r="J6" s="15"/>
      <c r="K6" s="15"/>
      <c r="L6" s="2"/>
      <c r="M6" s="2"/>
      <c r="O6" s="10"/>
      <c r="P6" s="10"/>
      <c r="Q6" s="10"/>
      <c r="R6" s="3"/>
      <c r="S6" s="15"/>
      <c r="T6" s="15"/>
      <c r="U6" s="2"/>
      <c r="V6" s="2"/>
    </row>
    <row r="7" spans="1:22" x14ac:dyDescent="0.35">
      <c r="A7" s="11"/>
      <c r="B7" s="13" t="s">
        <v>6</v>
      </c>
      <c r="C7" s="14"/>
      <c r="D7" s="14"/>
      <c r="F7" s="10"/>
      <c r="G7" s="10" t="s">
        <v>7</v>
      </c>
      <c r="H7" s="10"/>
      <c r="I7" s="3"/>
      <c r="J7" s="8"/>
      <c r="K7" s="3"/>
      <c r="L7" s="2"/>
      <c r="M7" s="2"/>
      <c r="O7" s="10"/>
      <c r="P7" s="10" t="s">
        <v>7</v>
      </c>
      <c r="Q7" s="10"/>
      <c r="R7" s="3"/>
      <c r="S7" s="8"/>
      <c r="T7" s="3"/>
      <c r="U7" s="2"/>
      <c r="V7" s="2"/>
    </row>
    <row r="8" spans="1:22" x14ac:dyDescent="0.35">
      <c r="A8" s="14"/>
      <c r="B8" s="11" t="s">
        <v>8</v>
      </c>
      <c r="C8" s="14"/>
      <c r="D8" s="14"/>
      <c r="E8" s="14"/>
      <c r="F8" s="2"/>
      <c r="G8" s="15">
        <v>0</v>
      </c>
      <c r="H8" s="3"/>
      <c r="I8" s="3"/>
      <c r="J8" s="8"/>
      <c r="K8" s="15"/>
      <c r="L8" s="2"/>
      <c r="M8" s="2"/>
      <c r="O8" s="2"/>
      <c r="P8" s="15">
        <v>0</v>
      </c>
      <c r="Q8" s="3"/>
      <c r="R8" s="3"/>
      <c r="S8" s="8"/>
      <c r="T8" s="15"/>
      <c r="U8" s="2"/>
      <c r="V8" s="2"/>
    </row>
    <row r="9" spans="1:22" x14ac:dyDescent="0.35">
      <c r="A9" s="14"/>
      <c r="B9" s="11"/>
      <c r="C9" s="10"/>
      <c r="D9" s="10"/>
      <c r="E9" s="10"/>
      <c r="F9" s="10"/>
      <c r="G9" s="16">
        <v>153</v>
      </c>
      <c r="H9" s="16"/>
      <c r="I9" s="10"/>
      <c r="J9" s="10"/>
      <c r="K9" s="3"/>
      <c r="L9" s="2"/>
      <c r="M9" s="2"/>
      <c r="O9" s="10"/>
      <c r="P9" s="16">
        <v>153</v>
      </c>
      <c r="Q9" s="16"/>
      <c r="R9" s="10"/>
      <c r="S9" s="10"/>
      <c r="T9" s="3"/>
      <c r="U9" s="2"/>
      <c r="V9" s="2"/>
    </row>
    <row r="10" spans="1:22" x14ac:dyDescent="0.35">
      <c r="A10" s="14"/>
      <c r="B10" s="11"/>
      <c r="C10" s="9"/>
      <c r="D10" s="9"/>
      <c r="E10" s="10"/>
      <c r="F10" s="10"/>
      <c r="G10" s="16">
        <v>152.21</v>
      </c>
      <c r="H10" s="16">
        <v>153.7321</v>
      </c>
      <c r="I10" s="10"/>
      <c r="J10" s="10"/>
      <c r="K10" s="3"/>
      <c r="L10" s="2"/>
      <c r="M10" s="2"/>
      <c r="O10" s="10"/>
      <c r="P10" s="16">
        <v>152.21</v>
      </c>
      <c r="Q10" s="16">
        <v>153.7321</v>
      </c>
      <c r="R10" s="10"/>
      <c r="S10" s="10"/>
      <c r="T10" s="3"/>
      <c r="U10" s="2"/>
      <c r="V10" s="2"/>
    </row>
    <row r="11" spans="1:22" x14ac:dyDescent="0.35">
      <c r="A11" s="14"/>
      <c r="B11" s="14"/>
      <c r="C11" s="14"/>
      <c r="D11" s="14"/>
      <c r="E11" s="14"/>
      <c r="F11" s="2"/>
      <c r="G11" s="17">
        <v>151.5</v>
      </c>
      <c r="H11" s="16">
        <v>153</v>
      </c>
      <c r="I11" s="16"/>
      <c r="J11" s="15"/>
      <c r="K11" s="18"/>
      <c r="L11" s="2"/>
      <c r="M11" s="2"/>
      <c r="O11" s="2"/>
      <c r="P11" s="17">
        <v>151.5</v>
      </c>
      <c r="Q11" s="16">
        <v>153</v>
      </c>
      <c r="R11" s="16"/>
      <c r="S11" s="15"/>
      <c r="T11" s="18"/>
      <c r="U11" s="2"/>
      <c r="V11" s="2"/>
    </row>
    <row r="12" spans="1:22" x14ac:dyDescent="0.35">
      <c r="A12" s="14"/>
      <c r="B12" s="14"/>
      <c r="C12" s="14"/>
      <c r="D12" s="14"/>
      <c r="E12" s="14"/>
      <c r="F12" s="8"/>
      <c r="G12" s="8">
        <v>151.85500000000002</v>
      </c>
      <c r="H12" s="16">
        <v>153.37355000000002</v>
      </c>
      <c r="I12" s="8"/>
      <c r="J12" s="3"/>
      <c r="K12" s="3"/>
      <c r="L12" s="2"/>
      <c r="M12" s="2"/>
      <c r="O12" s="8"/>
      <c r="P12" s="8">
        <v>151.85500000000002</v>
      </c>
      <c r="Q12" s="16">
        <v>153.37355000000002</v>
      </c>
      <c r="R12" s="8"/>
      <c r="S12" s="3"/>
      <c r="T12" s="3"/>
      <c r="U12" s="2"/>
      <c r="V12" s="2"/>
    </row>
    <row r="13" spans="1:22" x14ac:dyDescent="0.35">
      <c r="A13" s="14"/>
      <c r="E13" s="14"/>
      <c r="G13" s="8"/>
      <c r="H13" s="8"/>
      <c r="I13" s="8"/>
      <c r="J13" s="3"/>
      <c r="K13" s="14"/>
      <c r="L13" s="2"/>
      <c r="M13" s="2"/>
      <c r="P13" s="8"/>
      <c r="Q13" s="8"/>
      <c r="R13" s="8"/>
      <c r="S13" s="3"/>
      <c r="T13" s="14"/>
      <c r="U13" s="2"/>
      <c r="V13" s="2"/>
    </row>
    <row r="14" spans="1:22" x14ac:dyDescent="0.35">
      <c r="A14" s="19"/>
      <c r="B14" s="20"/>
      <c r="C14" s="20"/>
      <c r="D14" s="20"/>
      <c r="E14" s="20"/>
      <c r="F14" s="19" t="s">
        <v>0</v>
      </c>
      <c r="G14" s="20"/>
      <c r="H14" s="21"/>
      <c r="I14" s="22"/>
      <c r="J14" s="21"/>
      <c r="K14" s="20"/>
      <c r="L14" s="2"/>
      <c r="M14" s="2"/>
      <c r="O14" s="19" t="s">
        <v>0</v>
      </c>
      <c r="P14" s="20"/>
      <c r="Q14" s="21"/>
      <c r="R14" s="22"/>
      <c r="S14" s="21"/>
      <c r="T14" s="20"/>
      <c r="U14" s="2"/>
      <c r="V14" s="2"/>
    </row>
    <row r="15" spans="1:22" x14ac:dyDescent="0.35">
      <c r="A15" s="14"/>
      <c r="B15" s="14"/>
      <c r="C15" s="14"/>
      <c r="D15" s="14"/>
      <c r="E15" s="14"/>
      <c r="G15" s="8"/>
      <c r="H15" s="23"/>
      <c r="I15" s="8"/>
      <c r="J15" s="3"/>
      <c r="K15" s="3"/>
      <c r="L15" s="2"/>
      <c r="M15" s="2"/>
      <c r="P15" s="8"/>
      <c r="Q15" s="23"/>
      <c r="R15" s="8"/>
      <c r="S15" s="3"/>
      <c r="T15" s="3"/>
      <c r="U15" s="2"/>
      <c r="V15" s="2"/>
    </row>
    <row r="16" spans="1:22" x14ac:dyDescent="0.35">
      <c r="A16" s="6" t="s">
        <v>9</v>
      </c>
      <c r="B16" s="24">
        <f ca="1">TODAY()</f>
        <v>46056</v>
      </c>
      <c r="C16" s="14"/>
      <c r="D16" s="14"/>
      <c r="E16" s="14"/>
      <c r="F16" s="8"/>
      <c r="G16" s="25">
        <v>3</v>
      </c>
      <c r="H16" s="3"/>
      <c r="I16" s="22"/>
      <c r="J16" s="3"/>
      <c r="K16" s="3"/>
      <c r="L16" s="2"/>
      <c r="M16" s="2"/>
      <c r="O16" s="8"/>
      <c r="P16" s="25">
        <v>3</v>
      </c>
      <c r="Q16" s="3"/>
      <c r="R16" s="22"/>
      <c r="S16" s="3"/>
      <c r="T16" s="3"/>
      <c r="U16" s="2"/>
      <c r="V16" s="2"/>
    </row>
    <row r="17" spans="1:35" hidden="1" x14ac:dyDescent="0.35">
      <c r="A17" s="2"/>
      <c r="B17" s="2"/>
      <c r="C17" s="2"/>
      <c r="D17" s="2"/>
      <c r="E17" s="2"/>
      <c r="F17" s="26"/>
      <c r="G17" s="3"/>
      <c r="H17" s="27"/>
      <c r="I17" s="22"/>
      <c r="J17" s="28">
        <v>200</v>
      </c>
      <c r="K17" s="28">
        <v>200</v>
      </c>
      <c r="L17" s="2"/>
      <c r="M17" s="2"/>
      <c r="O17" s="26"/>
      <c r="P17" s="3"/>
      <c r="Q17" s="27"/>
      <c r="R17" s="22"/>
      <c r="S17" s="28">
        <v>300</v>
      </c>
      <c r="T17" s="28">
        <v>300</v>
      </c>
      <c r="U17" s="2"/>
      <c r="V17" s="2"/>
    </row>
    <row r="18" spans="1:35" x14ac:dyDescent="0.35">
      <c r="A18" s="2"/>
      <c r="B18" s="2"/>
      <c r="C18" s="2"/>
      <c r="D18" s="2"/>
      <c r="E18" s="2"/>
      <c r="F18" s="2"/>
      <c r="G18" s="3"/>
      <c r="H18" s="3"/>
      <c r="I18" s="22"/>
      <c r="J18" s="3"/>
      <c r="K18" s="3" t="s">
        <v>0</v>
      </c>
      <c r="L18" s="2"/>
      <c r="M18" s="2"/>
      <c r="O18" s="2"/>
      <c r="P18" s="3"/>
      <c r="Q18" s="3"/>
      <c r="R18" s="22"/>
      <c r="S18" s="3"/>
      <c r="T18" s="3" t="s">
        <v>0</v>
      </c>
      <c r="U18" s="2"/>
      <c r="V18" s="2"/>
    </row>
    <row r="19" spans="1:35" ht="14.4" customHeight="1" x14ac:dyDescent="0.3">
      <c r="A19" s="29" t="s">
        <v>10</v>
      </c>
      <c r="B19" s="2"/>
      <c r="C19" s="2"/>
      <c r="D19" s="2"/>
      <c r="E19" s="2"/>
      <c r="F19" s="30" t="s">
        <v>11</v>
      </c>
      <c r="G19" s="31"/>
      <c r="H19" s="31"/>
      <c r="I19" s="31"/>
      <c r="J19" s="31"/>
      <c r="K19" s="32"/>
      <c r="L19" s="2"/>
      <c r="M19" s="2"/>
      <c r="O19" s="30" t="s">
        <v>12</v>
      </c>
      <c r="P19" s="31"/>
      <c r="Q19" s="31"/>
      <c r="R19" s="31"/>
      <c r="S19" s="31"/>
      <c r="T19" s="32"/>
      <c r="U19" s="2"/>
      <c r="V19" s="2"/>
    </row>
    <row r="20" spans="1:35" x14ac:dyDescent="0.35">
      <c r="A20" s="2"/>
      <c r="B20" s="10" t="s">
        <v>13</v>
      </c>
      <c r="C20" s="10" t="s">
        <v>14</v>
      </c>
      <c r="D20" s="10"/>
      <c r="E20" s="10"/>
      <c r="F20" s="33"/>
      <c r="G20" s="34"/>
      <c r="H20" s="35"/>
      <c r="I20" s="36"/>
      <c r="J20" s="10" t="s">
        <v>13</v>
      </c>
      <c r="K20" s="10" t="s">
        <v>14</v>
      </c>
      <c r="L20" s="2"/>
      <c r="M20" s="2"/>
      <c r="O20" s="33"/>
      <c r="P20" s="34"/>
      <c r="Q20" s="35"/>
      <c r="R20" s="36"/>
      <c r="S20" s="10" t="s">
        <v>13</v>
      </c>
      <c r="T20" s="10" t="s">
        <v>14</v>
      </c>
      <c r="U20" s="2"/>
      <c r="V20" s="2"/>
      <c r="W20" s="37" t="s">
        <v>15</v>
      </c>
      <c r="X20" s="37"/>
      <c r="Y20" s="37"/>
      <c r="AA20" s="38" t="s">
        <v>16</v>
      </c>
      <c r="AB20" s="38" t="s">
        <v>17</v>
      </c>
      <c r="AC20" s="38"/>
      <c r="AD20" s="38" t="s">
        <v>18</v>
      </c>
    </row>
    <row r="21" spans="1:35" ht="14" hidden="1" x14ac:dyDescent="0.3">
      <c r="A21" s="2"/>
      <c r="B21" s="2"/>
      <c r="C21" s="2"/>
      <c r="D21" s="2"/>
      <c r="E21" s="2"/>
      <c r="F21" s="39"/>
      <c r="G21" s="40"/>
      <c r="H21" s="41"/>
      <c r="I21" s="16"/>
      <c r="J21" s="40"/>
      <c r="K21" s="41"/>
      <c r="L21" s="41"/>
      <c r="M21" s="41"/>
      <c r="O21" s="39"/>
      <c r="P21" s="40"/>
      <c r="Q21" s="41"/>
      <c r="R21" s="16"/>
      <c r="S21" s="40"/>
      <c r="T21" s="41"/>
      <c r="U21" s="41"/>
      <c r="V21" s="41"/>
      <c r="W21" s="42"/>
      <c r="X21" s="42"/>
    </row>
    <row r="22" spans="1:35" ht="14" hidden="1" x14ac:dyDescent="0.3">
      <c r="A22" s="2"/>
      <c r="B22" s="43"/>
      <c r="C22" s="44"/>
      <c r="D22" s="44"/>
      <c r="E22" s="2"/>
      <c r="F22" s="39" t="s">
        <v>19</v>
      </c>
      <c r="G22" s="40"/>
      <c r="H22" s="41"/>
      <c r="I22" s="16"/>
      <c r="J22" s="40"/>
      <c r="K22" s="45"/>
      <c r="L22" s="41"/>
      <c r="M22" s="41"/>
      <c r="O22" s="39" t="s">
        <v>19</v>
      </c>
      <c r="P22" s="40"/>
      <c r="Q22" s="41"/>
      <c r="R22" s="16"/>
      <c r="S22" s="40"/>
      <c r="T22" s="45"/>
      <c r="U22" s="41"/>
      <c r="V22" s="41"/>
    </row>
    <row r="23" spans="1:35" ht="14" x14ac:dyDescent="0.3">
      <c r="A23" s="2" t="s">
        <v>20</v>
      </c>
      <c r="B23" s="8">
        <f>[1]POPULATE!G7</f>
        <v>1375</v>
      </c>
      <c r="C23" s="8">
        <f>[1]POPULATE!H7</f>
        <v>1405</v>
      </c>
      <c r="D23" s="8"/>
      <c r="E23" s="8"/>
      <c r="F23" s="46"/>
      <c r="G23" s="47"/>
      <c r="H23" s="41"/>
      <c r="I23" s="8"/>
      <c r="J23" s="23"/>
      <c r="K23" s="23"/>
      <c r="L23" s="8"/>
      <c r="M23" s="8"/>
      <c r="N23" s="48"/>
      <c r="O23" s="46"/>
      <c r="P23" s="47"/>
      <c r="Q23" s="41"/>
      <c r="R23" s="8"/>
      <c r="S23" s="23"/>
      <c r="T23" s="23"/>
      <c r="U23" s="8"/>
      <c r="V23" s="8"/>
      <c r="AA23" s="48"/>
    </row>
    <row r="24" spans="1:35" ht="14" x14ac:dyDescent="0.3">
      <c r="A24" s="2"/>
      <c r="B24" s="8" t="s">
        <v>21</v>
      </c>
      <c r="C24" s="8"/>
      <c r="D24" s="8"/>
      <c r="E24" s="8"/>
      <c r="F24" s="41"/>
      <c r="G24" s="41" t="s">
        <v>22</v>
      </c>
      <c r="H24" s="8"/>
      <c r="I24" s="8"/>
      <c r="J24" s="45"/>
      <c r="K24" s="45"/>
      <c r="L24" s="8"/>
      <c r="M24" s="8"/>
      <c r="N24" s="48"/>
      <c r="O24" s="41"/>
      <c r="P24" s="41" t="s">
        <v>22</v>
      </c>
      <c r="Q24" s="8"/>
      <c r="R24" s="8"/>
      <c r="S24" s="45"/>
      <c r="T24" s="45"/>
      <c r="U24" s="8"/>
      <c r="V24" s="8"/>
      <c r="W24" s="4" t="s">
        <v>20</v>
      </c>
      <c r="Y24" s="49">
        <f>C23</f>
        <v>1405</v>
      </c>
      <c r="Z24" s="19"/>
      <c r="AA24" s="50">
        <f>Y24</f>
        <v>1405</v>
      </c>
      <c r="AB24" s="49">
        <f>AA24</f>
        <v>1405</v>
      </c>
      <c r="AD24" s="4" t="s">
        <v>23</v>
      </c>
    </row>
    <row r="25" spans="1:35" ht="14" x14ac:dyDescent="0.3">
      <c r="A25" s="2" t="s">
        <v>24</v>
      </c>
      <c r="B25" s="8">
        <f>B23*(J25-0.0075)</f>
        <v>1587.5749999999998</v>
      </c>
      <c r="C25" s="8">
        <f>+C23*(K25-0.0055)</f>
        <v>1681.2229999999997</v>
      </c>
      <c r="D25" s="8"/>
      <c r="E25" s="8"/>
      <c r="F25" s="51" t="s">
        <v>25</v>
      </c>
      <c r="G25" s="52">
        <f>[1]POPULATE!G9</f>
        <v>1.1820999999999999</v>
      </c>
      <c r="H25" s="53">
        <f>+G25+0.03</f>
        <v>1.2121</v>
      </c>
      <c r="I25" s="53"/>
      <c r="J25" s="45">
        <f>+(G25-($J$17/10000))+0</f>
        <v>1.1620999999999999</v>
      </c>
      <c r="K25" s="45">
        <f>+(G25+($K$17/10000))+0</f>
        <v>1.2020999999999999</v>
      </c>
      <c r="L25" s="8" t="s">
        <v>26</v>
      </c>
      <c r="M25" s="54"/>
      <c r="N25" s="48"/>
      <c r="O25" s="51" t="s">
        <v>25</v>
      </c>
      <c r="P25" s="52">
        <f>G25</f>
        <v>1.1820999999999999</v>
      </c>
      <c r="Q25" s="53">
        <f>+P25+0.03</f>
        <v>1.2121</v>
      </c>
      <c r="R25" s="53"/>
      <c r="S25" s="45">
        <f>+(P25-($S$17/10000))+0</f>
        <v>1.1520999999999999</v>
      </c>
      <c r="T25" s="45">
        <f>+(P25+($T$17/10000))+0</f>
        <v>1.2121</v>
      </c>
      <c r="U25" s="8" t="s">
        <v>26</v>
      </c>
      <c r="V25" s="54"/>
      <c r="Y25" s="55"/>
      <c r="Z25" s="19"/>
      <c r="AA25" s="56"/>
      <c r="AB25" s="56"/>
    </row>
    <row r="26" spans="1:35" x14ac:dyDescent="0.35">
      <c r="A26" s="2"/>
      <c r="B26" s="2"/>
      <c r="C26" s="2"/>
      <c r="D26" s="2"/>
      <c r="E26" s="2"/>
      <c r="G26" s="52"/>
      <c r="I26" s="40"/>
      <c r="J26" s="41"/>
      <c r="K26" s="41"/>
      <c r="L26" s="41"/>
      <c r="M26" s="41"/>
      <c r="P26" s="52"/>
      <c r="R26" s="40"/>
      <c r="S26" s="41"/>
      <c r="T26" s="41"/>
      <c r="U26" s="41"/>
      <c r="V26" s="41"/>
      <c r="W26" s="4" t="s">
        <v>27</v>
      </c>
      <c r="X26" s="58">
        <f>G25+0.006</f>
        <v>1.1880999999999999</v>
      </c>
      <c r="Y26" s="49">
        <f>$Y$24*X26</f>
        <v>1669.2804999999998</v>
      </c>
      <c r="Z26" s="19"/>
      <c r="AA26" s="56">
        <f>$AA$24*X26</f>
        <v>1669.2804999999998</v>
      </c>
      <c r="AB26" s="56">
        <f>$AB$24*X26</f>
        <v>1669.2804999999998</v>
      </c>
      <c r="AD26" s="4" t="s">
        <v>23</v>
      </c>
    </row>
    <row r="27" spans="1:35" ht="14" x14ac:dyDescent="0.3">
      <c r="A27" s="2" t="s">
        <v>28</v>
      </c>
      <c r="B27" s="8">
        <f>+B23/K27</f>
        <v>8.6849418898433548</v>
      </c>
      <c r="C27" s="8">
        <f>+C23/J27</f>
        <v>9.1638403339420815</v>
      </c>
      <c r="D27" s="23"/>
      <c r="E27" s="59"/>
      <c r="F27" s="51" t="s">
        <v>29</v>
      </c>
      <c r="G27" s="52">
        <f>[1]POPULATE!G10</f>
        <v>155.32</v>
      </c>
      <c r="H27" s="53">
        <f>+G27+1</f>
        <v>156.32</v>
      </c>
      <c r="I27" s="17"/>
      <c r="J27" s="8">
        <f>+(G27-($J$17/100))+0</f>
        <v>153.32</v>
      </c>
      <c r="K27" s="8">
        <f>+(H27+($K$17/100))-0</f>
        <v>158.32</v>
      </c>
      <c r="L27" s="16" t="s">
        <v>30</v>
      </c>
      <c r="M27" s="16"/>
      <c r="O27" s="51" t="s">
        <v>29</v>
      </c>
      <c r="P27" s="52">
        <f t="shared" ref="P27:P43" si="0">G27</f>
        <v>155.32</v>
      </c>
      <c r="Q27" s="53">
        <f>+P27+1</f>
        <v>156.32</v>
      </c>
      <c r="R27" s="17"/>
      <c r="S27" s="8">
        <f>+(P27-($S$17/100))+0</f>
        <v>152.32</v>
      </c>
      <c r="T27" s="8">
        <f>+(Q27+($T$17/100))-0</f>
        <v>159.32</v>
      </c>
      <c r="U27" s="16" t="s">
        <v>30</v>
      </c>
      <c r="V27" s="16"/>
      <c r="X27" s="60"/>
      <c r="Y27" s="49"/>
      <c r="Z27" s="19"/>
      <c r="AA27" s="61"/>
      <c r="AB27" s="61"/>
      <c r="AC27" s="42"/>
    </row>
    <row r="28" spans="1:35" ht="14" x14ac:dyDescent="0.3">
      <c r="A28" s="2"/>
      <c r="B28" s="2"/>
      <c r="C28" s="2"/>
      <c r="D28" s="2"/>
      <c r="E28" s="2"/>
      <c r="F28" s="8"/>
      <c r="G28" s="52"/>
      <c r="H28" s="40"/>
      <c r="I28" s="40"/>
      <c r="J28" s="45"/>
      <c r="K28" s="45"/>
      <c r="L28" s="41"/>
      <c r="M28" s="41"/>
      <c r="O28" s="8"/>
      <c r="P28" s="52"/>
      <c r="Q28" s="40"/>
      <c r="R28" s="40"/>
      <c r="S28" s="45"/>
      <c r="T28" s="45"/>
      <c r="U28" s="41"/>
      <c r="V28" s="41"/>
      <c r="W28" s="4" t="s">
        <v>31</v>
      </c>
      <c r="X28" s="60">
        <f>G29+0.006</f>
        <v>1.3765000000000001</v>
      </c>
      <c r="Y28" s="49">
        <f>$Y$24*X28</f>
        <v>1933.9825000000001</v>
      </c>
      <c r="Z28" s="19"/>
      <c r="AA28" s="56">
        <f>$AA$24*X28</f>
        <v>1933.9825000000001</v>
      </c>
      <c r="AB28" s="56">
        <f>$AB$24*X28</f>
        <v>1933.9825000000001</v>
      </c>
      <c r="AC28" s="42"/>
      <c r="AD28" s="4" t="s">
        <v>23</v>
      </c>
    </row>
    <row r="29" spans="1:35" ht="14" x14ac:dyDescent="0.3">
      <c r="A29" s="2" t="s">
        <v>31</v>
      </c>
      <c r="B29" s="16">
        <f>+B23*(J29-0.0075)</f>
        <v>1846.625</v>
      </c>
      <c r="C29" s="16">
        <f>+C23*(K29-0.0055)</f>
        <v>1945.925</v>
      </c>
      <c r="D29" s="16"/>
      <c r="E29" s="8"/>
      <c r="F29" s="41" t="s">
        <v>32</v>
      </c>
      <c r="G29" s="52">
        <f>[1]POPULATE!G11</f>
        <v>1.3705000000000001</v>
      </c>
      <c r="H29" s="53">
        <f>+G29+0.03</f>
        <v>1.4005000000000001</v>
      </c>
      <c r="I29" s="53"/>
      <c r="J29" s="45">
        <f>+(G29-($J$17/10000))+0</f>
        <v>1.3505</v>
      </c>
      <c r="K29" s="45">
        <f>+(G29+($K$17/10000))-0</f>
        <v>1.3905000000000001</v>
      </c>
      <c r="L29" s="16" t="s">
        <v>33</v>
      </c>
      <c r="M29" s="16"/>
      <c r="N29" s="48"/>
      <c r="O29" s="41" t="s">
        <v>32</v>
      </c>
      <c r="P29" s="52">
        <f t="shared" si="0"/>
        <v>1.3705000000000001</v>
      </c>
      <c r="Q29" s="53">
        <f>+P29+0.03</f>
        <v>1.4005000000000001</v>
      </c>
      <c r="R29" s="53"/>
      <c r="S29" s="45">
        <f>+(P29-($S$17/10000))+0</f>
        <v>1.3405</v>
      </c>
      <c r="T29" s="45">
        <f>+(P29+($T$17/10000))-0</f>
        <v>1.4005000000000001</v>
      </c>
      <c r="U29" s="16" t="s">
        <v>33</v>
      </c>
      <c r="V29" s="16"/>
      <c r="X29" s="60"/>
      <c r="Y29" s="49"/>
      <c r="Z29" s="62"/>
      <c r="AA29" s="56"/>
      <c r="AB29" s="56"/>
      <c r="AC29" s="63"/>
      <c r="AE29" s="48"/>
      <c r="AF29" s="48"/>
      <c r="AG29" s="48"/>
      <c r="AH29" s="48"/>
      <c r="AI29" s="48"/>
    </row>
    <row r="30" spans="1:35" ht="14" x14ac:dyDescent="0.3">
      <c r="A30" s="2"/>
      <c r="B30" s="16"/>
      <c r="C30" s="2"/>
      <c r="D30" s="2"/>
      <c r="E30" s="8"/>
      <c r="F30" s="51"/>
      <c r="G30" s="52"/>
      <c r="H30" s="40"/>
      <c r="I30" s="40"/>
      <c r="J30" s="45"/>
      <c r="K30" s="45"/>
      <c r="L30" s="41"/>
      <c r="M30" s="64"/>
      <c r="N30" s="48"/>
      <c r="O30" s="51"/>
      <c r="P30" s="52"/>
      <c r="Q30" s="40"/>
      <c r="R30" s="40"/>
      <c r="S30" s="45"/>
      <c r="T30" s="45"/>
      <c r="U30" s="41"/>
      <c r="V30" s="64"/>
      <c r="W30" s="4" t="s">
        <v>34</v>
      </c>
      <c r="X30" s="60">
        <f>G31-0.006</f>
        <v>0.77100000000000002</v>
      </c>
      <c r="Y30" s="49">
        <f>$Y$24/X30</f>
        <v>1822.3086900129701</v>
      </c>
      <c r="Z30" s="19"/>
      <c r="AA30" s="56">
        <f>$AA$24/X30</f>
        <v>1822.3086900129701</v>
      </c>
      <c r="AB30" s="56">
        <f>$AB$24/X30</f>
        <v>1822.3086900129701</v>
      </c>
      <c r="AC30" s="63"/>
      <c r="AD30" s="4" t="s">
        <v>23</v>
      </c>
      <c r="AE30" s="48"/>
      <c r="AF30" s="48"/>
      <c r="AG30" s="48"/>
      <c r="AH30" s="48"/>
      <c r="AI30" s="48"/>
    </row>
    <row r="31" spans="1:35" ht="14" x14ac:dyDescent="0.3">
      <c r="A31" s="2" t="s">
        <v>34</v>
      </c>
      <c r="B31" s="16">
        <f>+B23/K31</f>
        <v>1725.2195734002507</v>
      </c>
      <c r="C31" s="16">
        <f>+C23/J31</f>
        <v>1856.010568031704</v>
      </c>
      <c r="D31" s="16"/>
      <c r="E31" s="8"/>
      <c r="F31" s="41" t="s">
        <v>35</v>
      </c>
      <c r="G31" s="52">
        <f>[1]POPULATE!G12</f>
        <v>0.77700000000000002</v>
      </c>
      <c r="H31" s="53">
        <f>+G31+0.04</f>
        <v>0.81700000000000006</v>
      </c>
      <c r="I31" s="53"/>
      <c r="J31" s="45">
        <f>+(G31-($J$17/10000))+0</f>
        <v>0.75700000000000001</v>
      </c>
      <c r="K31" s="45">
        <f>+(G31+($K$17/10000))-0</f>
        <v>0.79700000000000004</v>
      </c>
      <c r="L31" s="16" t="s">
        <v>36</v>
      </c>
      <c r="M31" s="16"/>
      <c r="N31" s="48"/>
      <c r="O31" s="41" t="s">
        <v>35</v>
      </c>
      <c r="P31" s="52">
        <f t="shared" si="0"/>
        <v>0.77700000000000002</v>
      </c>
      <c r="Q31" s="53">
        <f>+P31+0.04</f>
        <v>0.81700000000000006</v>
      </c>
      <c r="R31" s="53"/>
      <c r="S31" s="45">
        <f>+(P31-($S$17/10000))+0</f>
        <v>0.747</v>
      </c>
      <c r="T31" s="45">
        <f>+(P31+($T$17/10000))-0</f>
        <v>0.80700000000000005</v>
      </c>
      <c r="U31" s="16" t="s">
        <v>36</v>
      </c>
      <c r="V31" s="16"/>
      <c r="X31" s="60"/>
      <c r="Y31" s="49"/>
      <c r="Z31" s="19"/>
      <c r="AA31" s="56"/>
      <c r="AB31" s="56"/>
      <c r="AC31" s="63"/>
      <c r="AE31" s="48"/>
      <c r="AF31" s="48"/>
      <c r="AG31" s="48"/>
      <c r="AH31" s="48"/>
      <c r="AI31" s="48"/>
    </row>
    <row r="32" spans="1:35" ht="14" x14ac:dyDescent="0.3">
      <c r="A32" s="2"/>
      <c r="B32" s="16"/>
      <c r="C32" s="16"/>
      <c r="D32" s="16"/>
      <c r="E32" s="8"/>
      <c r="F32" s="8"/>
      <c r="G32" s="52"/>
      <c r="H32" s="40"/>
      <c r="I32" s="40"/>
      <c r="J32" s="45"/>
      <c r="K32" s="45"/>
      <c r="L32" s="41"/>
      <c r="M32" s="41"/>
      <c r="N32" s="48"/>
      <c r="O32" s="8"/>
      <c r="P32" s="52"/>
      <c r="Q32" s="40"/>
      <c r="R32" s="40"/>
      <c r="S32" s="45"/>
      <c r="T32" s="45"/>
      <c r="U32" s="41"/>
      <c r="V32" s="41"/>
      <c r="W32" s="4" t="s">
        <v>37</v>
      </c>
      <c r="X32" s="60">
        <f>G33-0.07</f>
        <v>15.841699999999999</v>
      </c>
      <c r="Y32" s="49">
        <f>$Y$24/X32</f>
        <v>88.689976454547178</v>
      </c>
      <c r="Z32" s="19"/>
      <c r="AA32" s="56">
        <f>$AA$24/X32</f>
        <v>88.689976454547178</v>
      </c>
      <c r="AB32" s="56">
        <f>$AB$24/X32</f>
        <v>88.689976454547178</v>
      </c>
      <c r="AC32" s="65"/>
      <c r="AD32" s="4" t="s">
        <v>23</v>
      </c>
      <c r="AE32" s="48"/>
      <c r="AF32" s="48"/>
      <c r="AG32" s="48"/>
      <c r="AH32" s="48"/>
      <c r="AI32" s="48"/>
    </row>
    <row r="33" spans="1:35" ht="14" x14ac:dyDescent="0.3">
      <c r="A33" s="2" t="s">
        <v>37</v>
      </c>
      <c r="B33" s="16">
        <f>+B23/K33</f>
        <v>85.82110512617264</v>
      </c>
      <c r="C33" s="16">
        <f>+C23/J33</f>
        <v>88.886358316410139</v>
      </c>
      <c r="D33" s="16"/>
      <c r="E33" s="8"/>
      <c r="F33" s="66" t="s">
        <v>38</v>
      </c>
      <c r="G33" s="52">
        <f>[1]POPULATE!G13</f>
        <v>15.9117</v>
      </c>
      <c r="H33" s="53">
        <f>+G33+0.04</f>
        <v>15.951699999999999</v>
      </c>
      <c r="I33" s="67"/>
      <c r="J33" s="45">
        <f>+(G33-($J$17/10000))-0.085</f>
        <v>15.806699999999999</v>
      </c>
      <c r="K33" s="45">
        <f>+(H33+($K$17/10000))+0.05</f>
        <v>16.021699999999999</v>
      </c>
      <c r="L33" s="41" t="s">
        <v>39</v>
      </c>
      <c r="M33" s="41"/>
      <c r="N33" s="48"/>
      <c r="O33" s="66" t="s">
        <v>38</v>
      </c>
      <c r="P33" s="52">
        <f t="shared" si="0"/>
        <v>15.9117</v>
      </c>
      <c r="Q33" s="53">
        <f>+P33+0.04</f>
        <v>15.951699999999999</v>
      </c>
      <c r="R33" s="67"/>
      <c r="S33" s="45">
        <f>+(P33-($S$17/10000))-0.085</f>
        <v>15.7967</v>
      </c>
      <c r="T33" s="45">
        <f>+(Q33+($T$17/10000))+0.05</f>
        <v>16.031699999999997</v>
      </c>
      <c r="U33" s="41" t="s">
        <v>39</v>
      </c>
      <c r="V33" s="41"/>
      <c r="X33" s="60"/>
      <c r="Y33" s="49"/>
      <c r="Z33" s="19"/>
      <c r="AA33" s="56"/>
      <c r="AB33" s="56"/>
      <c r="AC33" s="63"/>
      <c r="AE33" s="48"/>
      <c r="AF33" s="48"/>
      <c r="AG33" s="48"/>
      <c r="AH33" s="48"/>
      <c r="AI33" s="48"/>
    </row>
    <row r="34" spans="1:35" ht="14" x14ac:dyDescent="0.3">
      <c r="A34" s="2"/>
      <c r="B34" s="16"/>
      <c r="C34" s="16"/>
      <c r="D34" s="16"/>
      <c r="E34" s="8"/>
      <c r="F34" s="8"/>
      <c r="G34" s="52"/>
      <c r="H34" s="40"/>
      <c r="I34" s="40"/>
      <c r="J34" s="45"/>
      <c r="K34" s="45"/>
      <c r="L34" s="41"/>
      <c r="M34" s="41"/>
      <c r="O34" s="8"/>
      <c r="P34" s="52"/>
      <c r="Q34" s="40"/>
      <c r="R34" s="40"/>
      <c r="S34" s="45"/>
      <c r="T34" s="45"/>
      <c r="U34" s="41"/>
      <c r="V34" s="41"/>
      <c r="W34" s="4" t="s">
        <v>40</v>
      </c>
      <c r="X34" s="60">
        <f>G37-0.006</f>
        <v>1.3593</v>
      </c>
      <c r="Y34" s="49">
        <f>$Y$24/X34</f>
        <v>1033.6202457147062</v>
      </c>
      <c r="Z34" s="19"/>
      <c r="AA34" s="56">
        <f>$AA$24/X34</f>
        <v>1033.6202457147062</v>
      </c>
      <c r="AB34" s="56">
        <f>$AB$24/X34</f>
        <v>1033.6202457147062</v>
      </c>
      <c r="AC34" s="48"/>
      <c r="AD34" s="4" t="s">
        <v>23</v>
      </c>
      <c r="AE34" s="48"/>
      <c r="AF34" s="48"/>
      <c r="AG34" s="48"/>
      <c r="AH34" s="48"/>
      <c r="AI34" s="48"/>
    </row>
    <row r="35" spans="1:35" ht="14" x14ac:dyDescent="0.3">
      <c r="A35" s="2" t="s">
        <v>41</v>
      </c>
      <c r="B35" s="16">
        <f>+B23/K35</f>
        <v>216.95910123706136</v>
      </c>
      <c r="C35" s="16">
        <f>+C23/J35</f>
        <v>223.1008638211382</v>
      </c>
      <c r="D35" s="16"/>
      <c r="E35" s="8"/>
      <c r="F35" s="66" t="s">
        <v>42</v>
      </c>
      <c r="G35" s="52">
        <f>[1]POPULATE!G14</f>
        <v>6.3175999999999997</v>
      </c>
      <c r="H35" s="53">
        <f>+G35+0.04</f>
        <v>6.3575999999999997</v>
      </c>
      <c r="I35" s="67"/>
      <c r="J35" s="45">
        <f>+(G35-($J$17/10000))-0</f>
        <v>6.2976000000000001</v>
      </c>
      <c r="K35" s="45">
        <f>+(G35+($K$17/10000))-0</f>
        <v>6.3375999999999992</v>
      </c>
      <c r="L35" s="16" t="s">
        <v>43</v>
      </c>
      <c r="M35" s="16"/>
      <c r="N35" s="48"/>
      <c r="O35" s="66" t="s">
        <v>42</v>
      </c>
      <c r="P35" s="52">
        <f t="shared" si="0"/>
        <v>6.3175999999999997</v>
      </c>
      <c r="Q35" s="53">
        <f>+P35+0.04</f>
        <v>6.3575999999999997</v>
      </c>
      <c r="R35" s="67"/>
      <c r="S35" s="45">
        <f>+(P35-($S$17/10000))-0</f>
        <v>6.2875999999999994</v>
      </c>
      <c r="T35" s="45">
        <f>+(P35+($T$17/10000))-0</f>
        <v>6.3475999999999999</v>
      </c>
      <c r="U35" s="16" t="s">
        <v>43</v>
      </c>
      <c r="V35" s="16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ht="14" x14ac:dyDescent="0.3">
      <c r="A36" s="2"/>
      <c r="B36" s="16"/>
      <c r="C36" s="16"/>
      <c r="D36" s="16"/>
      <c r="E36" s="8"/>
      <c r="F36" s="8"/>
      <c r="G36" s="52"/>
      <c r="H36" s="8"/>
      <c r="I36" s="8"/>
      <c r="J36" s="16"/>
      <c r="K36" s="8"/>
      <c r="L36" s="41"/>
      <c r="M36" s="41"/>
      <c r="N36" s="48"/>
      <c r="O36" s="8"/>
      <c r="P36" s="52"/>
      <c r="Q36" s="8"/>
      <c r="R36" s="8"/>
      <c r="S36" s="16"/>
      <c r="T36" s="8"/>
      <c r="U36" s="41"/>
      <c r="V36" s="41"/>
      <c r="Y36" s="6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5" ht="14" x14ac:dyDescent="0.3">
      <c r="A37" s="2" t="s">
        <v>40</v>
      </c>
      <c r="B37" s="16">
        <f>+B23/K37</f>
        <v>992.56478741066917</v>
      </c>
      <c r="C37" s="16">
        <f>+C23/J37</f>
        <v>1044.3767189474468</v>
      </c>
      <c r="D37" s="16"/>
      <c r="E37" s="8"/>
      <c r="F37" s="66" t="s">
        <v>44</v>
      </c>
      <c r="G37" s="52">
        <f>[1]POPULATE!G15</f>
        <v>1.3653</v>
      </c>
      <c r="H37" s="53">
        <f>+G37+0.04</f>
        <v>1.4053</v>
      </c>
      <c r="I37" s="69"/>
      <c r="J37" s="45">
        <f>+(G37-($J$17/10000))-0</f>
        <v>1.3452999999999999</v>
      </c>
      <c r="K37" s="45">
        <f>+(G37+($K$17/10000))-0</f>
        <v>1.3853</v>
      </c>
      <c r="L37" s="16" t="s">
        <v>45</v>
      </c>
      <c r="M37" s="16"/>
      <c r="N37" s="48"/>
      <c r="O37" s="66" t="s">
        <v>44</v>
      </c>
      <c r="P37" s="52">
        <f t="shared" si="0"/>
        <v>1.3653</v>
      </c>
      <c r="Q37" s="53">
        <f>+P37+0.04</f>
        <v>1.4053</v>
      </c>
      <c r="R37" s="69"/>
      <c r="S37" s="45">
        <f>+(P37-($S$17/10000))-0</f>
        <v>1.3352999999999999</v>
      </c>
      <c r="T37" s="45">
        <f>+(P37+($T$17/10000))-0</f>
        <v>1.3953</v>
      </c>
      <c r="U37" s="16" t="s">
        <v>45</v>
      </c>
      <c r="V37" s="16"/>
      <c r="Y37" s="6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5" ht="17.25" customHeight="1" x14ac:dyDescent="0.3">
      <c r="A38" s="2"/>
      <c r="B38" s="8"/>
      <c r="C38" s="8"/>
      <c r="D38" s="8"/>
      <c r="E38" s="8"/>
      <c r="F38" s="41"/>
      <c r="G38" s="52"/>
      <c r="H38" s="23"/>
      <c r="I38" s="23"/>
      <c r="J38" s="40"/>
      <c r="K38" s="40"/>
      <c r="L38" s="16"/>
      <c r="M38" s="16"/>
      <c r="N38" s="48"/>
      <c r="O38" s="41"/>
      <c r="P38" s="52"/>
      <c r="Q38" s="23"/>
      <c r="R38" s="23"/>
      <c r="S38" s="40"/>
      <c r="T38" s="40"/>
      <c r="U38" s="16"/>
      <c r="V38" s="16"/>
      <c r="W38" s="68"/>
      <c r="X38" s="68"/>
      <c r="Y38" s="6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5" ht="14" x14ac:dyDescent="0.3">
      <c r="A39" s="2" t="s">
        <v>46</v>
      </c>
      <c r="B39" s="8">
        <f>+B23*J39</f>
        <v>941.1875</v>
      </c>
      <c r="C39" s="8">
        <f>+C23*K39</f>
        <v>1017.9225</v>
      </c>
      <c r="D39" s="8"/>
      <c r="E39" s="8"/>
      <c r="F39" s="66" t="s">
        <v>47</v>
      </c>
      <c r="G39" s="52">
        <f>[1]POPULATE!G16</f>
        <v>0.70450000000000002</v>
      </c>
      <c r="H39" s="53">
        <f>+G39+0.04</f>
        <v>0.74450000000000005</v>
      </c>
      <c r="I39" s="67"/>
      <c r="J39" s="45">
        <f>+(G39-($J$17/10000))+0</f>
        <v>0.6845</v>
      </c>
      <c r="K39" s="45">
        <f>+(G39+($K$17/10000))-0</f>
        <v>0.72450000000000003</v>
      </c>
      <c r="L39" s="8" t="s">
        <v>48</v>
      </c>
      <c r="M39" s="8"/>
      <c r="N39" s="48"/>
      <c r="O39" s="66" t="s">
        <v>47</v>
      </c>
      <c r="P39" s="52">
        <f t="shared" si="0"/>
        <v>0.70450000000000002</v>
      </c>
      <c r="Q39" s="53">
        <f>+P39+0.04</f>
        <v>0.74450000000000005</v>
      </c>
      <c r="R39" s="67"/>
      <c r="S39" s="45">
        <f>+(P39-($S$17/10000))+0</f>
        <v>0.67449999999999999</v>
      </c>
      <c r="T39" s="45">
        <f>+(P39+($T$17/10000))-0</f>
        <v>0.73450000000000004</v>
      </c>
      <c r="U39" s="8" t="s">
        <v>48</v>
      </c>
      <c r="V39" s="8"/>
      <c r="W39" s="37"/>
      <c r="X39" s="37"/>
      <c r="Y39" s="37"/>
      <c r="Z39" s="48"/>
      <c r="AA39" s="48"/>
      <c r="AB39" s="48"/>
      <c r="AC39" s="48"/>
      <c r="AD39" s="48"/>
      <c r="AE39" s="48"/>
      <c r="AF39" s="48"/>
      <c r="AG39" s="48"/>
      <c r="AH39" s="48"/>
      <c r="AI39" s="48"/>
    </row>
    <row r="40" spans="1:35" ht="14" x14ac:dyDescent="0.3">
      <c r="A40" s="2"/>
      <c r="B40" s="16"/>
      <c r="C40" s="16"/>
      <c r="D40" s="16"/>
      <c r="E40" s="16"/>
      <c r="F40" s="70"/>
      <c r="G40" s="52"/>
      <c r="H40" s="71"/>
      <c r="I40" s="71"/>
      <c r="J40" s="45"/>
      <c r="K40" s="45"/>
      <c r="L40" s="16"/>
      <c r="M40" s="16"/>
      <c r="N40" s="72"/>
      <c r="O40" s="70"/>
      <c r="P40" s="52"/>
      <c r="Q40" s="71"/>
      <c r="R40" s="71"/>
      <c r="S40" s="45"/>
      <c r="T40" s="45"/>
      <c r="U40" s="16"/>
      <c r="V40" s="16"/>
      <c r="W40" s="48"/>
      <c r="Y40" s="48"/>
      <c r="Z40" s="72"/>
      <c r="AA40" s="72"/>
      <c r="AB40" s="72"/>
      <c r="AC40" s="72"/>
      <c r="AD40" s="72"/>
      <c r="AE40" s="72"/>
      <c r="AF40" s="72"/>
      <c r="AG40" s="72"/>
      <c r="AH40" s="72"/>
      <c r="AI40" s="72"/>
    </row>
    <row r="41" spans="1:35" ht="14" x14ac:dyDescent="0.3">
      <c r="A41" s="66" t="s">
        <v>49</v>
      </c>
      <c r="B41" s="16">
        <f>+B23/K41</f>
        <v>197.79619080499452</v>
      </c>
      <c r="C41" s="8">
        <f>+C23/J41</f>
        <v>203.28143989814222</v>
      </c>
      <c r="D41" s="8"/>
      <c r="E41" s="8"/>
      <c r="F41" s="66" t="s">
        <v>50</v>
      </c>
      <c r="G41" s="52">
        <f>[1]POPULATE!G17</f>
        <v>6.9316000000000004</v>
      </c>
      <c r="H41" s="53">
        <f>+G41+0.04</f>
        <v>6.9716000000000005</v>
      </c>
      <c r="I41" s="67"/>
      <c r="J41" s="23">
        <f>+(G41-($J$17/10000))+0</f>
        <v>6.9116000000000009</v>
      </c>
      <c r="K41" s="23">
        <f>+(G41+($K$17/10000))-0</f>
        <v>6.9516</v>
      </c>
      <c r="L41" s="8" t="s">
        <v>51</v>
      </c>
      <c r="M41" s="8"/>
      <c r="N41" s="48"/>
      <c r="O41" s="66" t="s">
        <v>50</v>
      </c>
      <c r="P41" s="52">
        <f t="shared" si="0"/>
        <v>6.9316000000000004</v>
      </c>
      <c r="Q41" s="53">
        <f>+P41+0.04</f>
        <v>6.9716000000000005</v>
      </c>
      <c r="R41" s="67"/>
      <c r="S41" s="23">
        <f>+(P41-($S$17/10000))+0</f>
        <v>6.9016000000000002</v>
      </c>
      <c r="T41" s="23">
        <f>+(P41+($T$17/10000))-0</f>
        <v>6.9616000000000007</v>
      </c>
      <c r="U41" s="8" t="s">
        <v>51</v>
      </c>
      <c r="V41" s="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1:35" ht="14" x14ac:dyDescent="0.3">
      <c r="A42" s="2"/>
      <c r="B42" s="8"/>
      <c r="C42" s="8"/>
      <c r="D42" s="8"/>
      <c r="E42" s="8"/>
      <c r="F42" s="73"/>
      <c r="G42" s="74"/>
      <c r="H42" s="75"/>
      <c r="I42" s="75"/>
      <c r="J42" s="71"/>
      <c r="K42" s="8"/>
      <c r="L42" s="8"/>
      <c r="M42" s="8"/>
      <c r="N42" s="48"/>
      <c r="O42" s="73"/>
      <c r="P42" s="52"/>
      <c r="Q42" s="75"/>
      <c r="R42" s="75"/>
      <c r="S42" s="71"/>
      <c r="T42" s="8"/>
      <c r="U42" s="8"/>
      <c r="V42" s="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</row>
    <row r="43" spans="1:35" ht="20.25" hidden="1" customHeight="1" x14ac:dyDescent="0.3">
      <c r="A43" s="2" t="s">
        <v>52</v>
      </c>
      <c r="B43" s="76">
        <f>C43-1</f>
        <v>378</v>
      </c>
      <c r="C43" s="77">
        <v>379</v>
      </c>
      <c r="D43" s="35"/>
      <c r="E43" s="8"/>
      <c r="F43" s="8"/>
      <c r="G43" s="78"/>
      <c r="H43" s="16"/>
      <c r="I43" s="16"/>
      <c r="J43" s="71"/>
      <c r="K43" s="8"/>
      <c r="L43" s="78"/>
      <c r="M43" s="78"/>
      <c r="N43" s="48"/>
      <c r="O43" s="8"/>
      <c r="P43" s="52">
        <f t="shared" si="0"/>
        <v>0</v>
      </c>
      <c r="Q43" s="16"/>
      <c r="R43" s="16"/>
      <c r="S43" s="71"/>
      <c r="T43" s="8"/>
      <c r="U43" s="78"/>
      <c r="V43" s="7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</row>
    <row r="44" spans="1:35" x14ac:dyDescent="0.35">
      <c r="G44" s="75"/>
    </row>
    <row r="45" spans="1:35" x14ac:dyDescent="0.35">
      <c r="A45" s="8"/>
      <c r="B45" s="8"/>
      <c r="C45" s="8"/>
      <c r="D45" s="8"/>
      <c r="E45" s="48"/>
      <c r="F45" s="8"/>
      <c r="G45" s="75"/>
      <c r="H45" s="16"/>
      <c r="I45" s="48"/>
      <c r="L45" s="75"/>
      <c r="M45" s="75"/>
      <c r="N45" s="48"/>
      <c r="O45" s="8"/>
      <c r="P45" s="75"/>
      <c r="Q45" s="16"/>
      <c r="R45" s="48"/>
      <c r="U45" s="75"/>
      <c r="V45" s="75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 ht="12.75" customHeight="1" x14ac:dyDescent="0.3">
      <c r="A46" s="8"/>
      <c r="B46" s="8"/>
      <c r="C46" s="8"/>
      <c r="D46" s="8"/>
      <c r="E46" s="72"/>
      <c r="F46" s="48"/>
      <c r="G46" s="79"/>
      <c r="H46" s="72"/>
      <c r="I46" s="48"/>
      <c r="J46" s="80" t="s">
        <v>53</v>
      </c>
      <c r="K46" s="80"/>
      <c r="L46" s="48"/>
      <c r="M46" s="48"/>
      <c r="N46" s="48"/>
      <c r="O46" s="48"/>
      <c r="P46" s="79"/>
      <c r="Q46" s="72"/>
      <c r="R46" s="48"/>
      <c r="S46" s="80"/>
      <c r="T46" s="80"/>
      <c r="U46" s="48"/>
      <c r="V46" s="48"/>
      <c r="W46" s="48"/>
      <c r="X46" s="48"/>
      <c r="Y46" s="48"/>
      <c r="Z46" s="48"/>
      <c r="AA46" s="48"/>
    </row>
    <row r="47" spans="1:35" ht="14" x14ac:dyDescent="0.3">
      <c r="A47" s="8"/>
      <c r="B47" s="8"/>
      <c r="C47" s="8"/>
      <c r="D47" s="8"/>
      <c r="E47" s="72"/>
      <c r="F47" s="48"/>
      <c r="G47" s="79"/>
      <c r="H47" s="72"/>
      <c r="I47" s="48"/>
      <c r="J47" s="55" t="s">
        <v>20</v>
      </c>
      <c r="K47" s="45">
        <v>1451.634</v>
      </c>
      <c r="L47" s="45">
        <v>326</v>
      </c>
      <c r="M47" s="48"/>
      <c r="N47" s="48"/>
      <c r="O47" s="48"/>
      <c r="P47" s="79"/>
      <c r="Q47" s="72"/>
      <c r="R47" s="48"/>
      <c r="S47" s="55"/>
      <c r="T47" s="45"/>
      <c r="U47" s="45"/>
      <c r="V47" s="48"/>
      <c r="W47" s="48"/>
      <c r="X47" s="48"/>
      <c r="Y47" s="48"/>
      <c r="Z47" s="48"/>
      <c r="AA47" s="48"/>
    </row>
    <row r="48" spans="1:35" ht="14" x14ac:dyDescent="0.3">
      <c r="A48" s="8"/>
      <c r="B48" s="8"/>
      <c r="C48" s="8"/>
      <c r="D48" s="8"/>
      <c r="E48" s="81"/>
      <c r="F48" s="48"/>
      <c r="G48" s="79"/>
      <c r="H48" s="82"/>
      <c r="I48" s="48"/>
      <c r="J48" s="55" t="s">
        <v>27</v>
      </c>
      <c r="K48" s="45">
        <v>1674.14</v>
      </c>
      <c r="L48" s="45">
        <f>$Y$47*C25</f>
        <v>0</v>
      </c>
      <c r="M48" s="48"/>
      <c r="N48" s="48"/>
      <c r="O48" s="48"/>
      <c r="P48" s="79"/>
      <c r="Q48" s="82"/>
      <c r="R48" s="48"/>
      <c r="S48" s="55"/>
      <c r="T48" s="45"/>
      <c r="U48" s="45"/>
      <c r="V48" s="48"/>
      <c r="W48" s="48"/>
      <c r="X48" s="48"/>
      <c r="Y48" s="48"/>
      <c r="Z48" s="48"/>
      <c r="AA48" s="48"/>
    </row>
    <row r="49" spans="1:35" ht="14" x14ac:dyDescent="0.3">
      <c r="A49" s="8"/>
      <c r="B49" s="8"/>
      <c r="C49" s="8"/>
      <c r="D49" s="8"/>
      <c r="E49" s="83"/>
      <c r="F49" s="72"/>
      <c r="G49" s="72"/>
      <c r="H49" s="72"/>
      <c r="I49" s="48"/>
      <c r="J49" s="55" t="s">
        <v>31</v>
      </c>
      <c r="K49" s="45">
        <v>1900.0440000000001</v>
      </c>
      <c r="L49" s="45">
        <f>$Y$47*C29</f>
        <v>0</v>
      </c>
      <c r="M49" s="48"/>
      <c r="N49" s="48"/>
      <c r="O49" s="72"/>
      <c r="P49" s="72"/>
      <c r="Q49" s="72"/>
      <c r="R49" s="48"/>
      <c r="S49" s="55"/>
      <c r="T49" s="45"/>
      <c r="U49" s="45"/>
      <c r="V49" s="48"/>
      <c r="W49" s="48"/>
      <c r="X49" s="48"/>
      <c r="Y49" s="48"/>
      <c r="Z49" s="48"/>
      <c r="AA49" s="48"/>
    </row>
    <row r="50" spans="1:35" ht="14" x14ac:dyDescent="0.3">
      <c r="A50" s="8"/>
      <c r="B50" s="8"/>
      <c r="C50" s="8"/>
      <c r="D50" s="8"/>
      <c r="E50" s="72"/>
      <c r="F50" s="84"/>
      <c r="G50" s="72"/>
      <c r="H50" s="72"/>
      <c r="I50" s="48"/>
      <c r="J50" s="55" t="s">
        <v>54</v>
      </c>
      <c r="K50" s="45">
        <v>204.042</v>
      </c>
      <c r="L50" s="45">
        <f>$Y$47/B41</f>
        <v>0</v>
      </c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35" ht="14" x14ac:dyDescent="0.3">
      <c r="A51" s="8"/>
      <c r="B51" s="8"/>
      <c r="C51" s="8"/>
      <c r="D51" s="8"/>
      <c r="E51" s="72"/>
      <c r="F51" s="72"/>
      <c r="G51" s="72"/>
      <c r="H51" s="72"/>
      <c r="I51" s="48"/>
      <c r="J51" s="55" t="s">
        <v>37</v>
      </c>
      <c r="K51" s="45">
        <v>84.352000000000004</v>
      </c>
      <c r="L51" s="45">
        <f>$Y$47/B33</f>
        <v>0</v>
      </c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35" x14ac:dyDescent="0.35">
      <c r="A52" s="48"/>
      <c r="B52" s="48"/>
      <c r="C52" s="8"/>
      <c r="D52" s="8"/>
      <c r="E52" s="85"/>
      <c r="F52" s="72"/>
      <c r="H52" s="72"/>
      <c r="I52" s="48"/>
      <c r="J52" s="55" t="s">
        <v>28</v>
      </c>
      <c r="K52" s="45">
        <v>9.2200000000000006</v>
      </c>
      <c r="L52" s="45">
        <f>$Y$47/B27</f>
        <v>0</v>
      </c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35" x14ac:dyDescent="0.35">
      <c r="A53" s="48"/>
      <c r="B53" s="48"/>
      <c r="C53" s="8"/>
      <c r="D53" s="8"/>
      <c r="E53" s="85"/>
      <c r="F53" s="72"/>
      <c r="H53" s="72"/>
      <c r="I53" s="48"/>
      <c r="J53" s="86" t="s">
        <v>55</v>
      </c>
      <c r="K53" s="87"/>
      <c r="L53" s="4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35" x14ac:dyDescent="0.35">
      <c r="A54" s="48"/>
      <c r="B54" s="48"/>
      <c r="C54" s="8"/>
      <c r="D54" s="8"/>
      <c r="E54" s="85"/>
      <c r="F54" s="72"/>
      <c r="H54" s="72"/>
      <c r="I54" s="48"/>
      <c r="J54" s="55"/>
      <c r="K54" s="45"/>
      <c r="L54" s="45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35" x14ac:dyDescent="0.35">
      <c r="A55" s="48"/>
      <c r="B55" s="48"/>
      <c r="C55" s="8"/>
      <c r="D55" s="8"/>
      <c r="E55" s="85"/>
      <c r="F55" s="72"/>
      <c r="H55" s="72"/>
      <c r="I55" s="48"/>
      <c r="J55" s="55"/>
      <c r="K55" s="88"/>
      <c r="L55" s="88"/>
      <c r="M55" s="89"/>
      <c r="N55" s="72"/>
      <c r="O55" s="72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5" x14ac:dyDescent="0.35">
      <c r="A56" s="48"/>
      <c r="B56" s="48"/>
      <c r="C56" s="8"/>
      <c r="D56" s="8"/>
      <c r="E56" s="85"/>
      <c r="F56" s="72"/>
      <c r="H56" s="72"/>
      <c r="I56" s="48"/>
      <c r="J56" s="90" t="s">
        <v>56</v>
      </c>
      <c r="K56" s="91">
        <f>[1]POPULATE!G19</f>
        <v>1396.67</v>
      </c>
      <c r="L56" s="92"/>
      <c r="M56" s="93"/>
      <c r="N56" s="72"/>
      <c r="O56" s="72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35" x14ac:dyDescent="0.35">
      <c r="A57" s="48"/>
      <c r="B57" s="48"/>
      <c r="C57" s="8"/>
      <c r="D57" s="8"/>
      <c r="E57" s="85"/>
      <c r="F57" s="72"/>
      <c r="H57" s="72"/>
      <c r="I57" s="48"/>
      <c r="J57" s="94"/>
      <c r="K57" s="94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35" x14ac:dyDescent="0.35">
      <c r="A58" s="48"/>
      <c r="B58" s="48"/>
      <c r="C58" s="8"/>
      <c r="D58" s="8"/>
      <c r="E58" s="85"/>
      <c r="F58" s="72"/>
      <c r="H58" s="72"/>
      <c r="I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:35" ht="14" x14ac:dyDescent="0.3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 x14ac:dyDescent="0.35">
      <c r="B60" s="48"/>
      <c r="C60" s="48"/>
      <c r="D60" s="48"/>
      <c r="E60" s="95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 x14ac:dyDescent="0.35">
      <c r="B61" s="48"/>
      <c r="C61" s="48"/>
      <c r="D61" s="48"/>
      <c r="E61" s="95"/>
      <c r="F61" s="96"/>
      <c r="G61" s="48"/>
      <c r="H61" s="48"/>
      <c r="I61" s="48"/>
      <c r="J61" s="48"/>
      <c r="K61" s="48"/>
      <c r="L61" s="48"/>
      <c r="M61" s="48"/>
      <c r="N61" s="48"/>
      <c r="O61" s="96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 x14ac:dyDescent="0.35">
      <c r="B62" s="48"/>
      <c r="C62" s="48"/>
      <c r="D62" s="48"/>
      <c r="E62" s="97"/>
      <c r="F62" s="48"/>
      <c r="G62" s="98"/>
      <c r="H62" s="48"/>
      <c r="I62" s="48"/>
      <c r="K62" s="48"/>
      <c r="L62" s="48"/>
      <c r="M62" s="48"/>
      <c r="N62" s="48"/>
      <c r="O62" s="48"/>
      <c r="P62" s="98"/>
      <c r="Q62" s="48"/>
      <c r="R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 x14ac:dyDescent="0.35">
      <c r="B63" s="48"/>
      <c r="C63" s="48"/>
      <c r="D63" s="48"/>
      <c r="E63" s="99"/>
      <c r="F63" s="100"/>
      <c r="G63" s="98"/>
      <c r="H63" s="48"/>
      <c r="I63" s="48"/>
      <c r="J63" s="101"/>
      <c r="K63" s="85"/>
      <c r="L63" s="48"/>
      <c r="M63" s="48"/>
      <c r="N63" s="48"/>
      <c r="O63" s="100"/>
      <c r="P63" s="98"/>
      <c r="Q63" s="48"/>
      <c r="R63" s="48"/>
      <c r="S63" s="101"/>
      <c r="T63" s="85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x14ac:dyDescent="0.35">
      <c r="B64" s="48"/>
      <c r="C64" s="48"/>
      <c r="D64" s="48"/>
      <c r="E64" s="99"/>
      <c r="F64" s="100"/>
      <c r="G64" s="98"/>
      <c r="H64" s="85"/>
      <c r="I64" s="48"/>
      <c r="J64" s="101"/>
      <c r="K64" s="85"/>
      <c r="L64" s="48"/>
      <c r="M64" s="48"/>
      <c r="N64" s="48"/>
      <c r="O64" s="100"/>
      <c r="P64" s="98"/>
      <c r="Q64" s="85"/>
      <c r="R64" s="48"/>
      <c r="S64" s="101"/>
      <c r="T64" s="85"/>
      <c r="U64" s="48"/>
      <c r="V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2:35" x14ac:dyDescent="0.35">
      <c r="B65" s="48"/>
      <c r="C65" s="48"/>
      <c r="D65" s="48"/>
      <c r="E65" s="99"/>
      <c r="F65" s="48"/>
      <c r="G65" s="98"/>
      <c r="H65" s="48"/>
      <c r="I65" s="48"/>
      <c r="K65" s="85"/>
      <c r="L65" s="48"/>
      <c r="M65" s="48"/>
      <c r="N65" s="48"/>
      <c r="O65" s="48"/>
      <c r="P65" s="98"/>
      <c r="Q65" s="48"/>
      <c r="R65" s="48"/>
      <c r="T65" s="85"/>
      <c r="U65" s="48"/>
      <c r="V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2:35" x14ac:dyDescent="0.35">
      <c r="B66" s="102"/>
      <c r="C66" s="48"/>
      <c r="D66" s="48"/>
      <c r="E66" s="99"/>
      <c r="F66" s="48"/>
      <c r="G66" s="98"/>
      <c r="H66" s="85"/>
      <c r="I66" s="48"/>
      <c r="K66" s="48"/>
      <c r="L66" s="48"/>
      <c r="M66" s="48"/>
      <c r="N66" s="48"/>
      <c r="O66" s="48"/>
      <c r="P66" s="98"/>
      <c r="Q66" s="85"/>
      <c r="R66" s="48"/>
      <c r="T66" s="48"/>
      <c r="U66" s="48"/>
      <c r="V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2:35" x14ac:dyDescent="0.35">
      <c r="B67" s="102"/>
      <c r="E67" s="103"/>
      <c r="G67" s="104"/>
      <c r="P67" s="104"/>
    </row>
    <row r="68" spans="2:35" x14ac:dyDescent="0.35">
      <c r="B68" s="105"/>
      <c r="F68" s="106"/>
      <c r="O68" s="106"/>
    </row>
    <row r="69" spans="2:35" x14ac:dyDescent="0.35">
      <c r="I69" s="48"/>
      <c r="R69" s="48"/>
    </row>
    <row r="80" spans="2:35" x14ac:dyDescent="0.35">
      <c r="W80" s="57"/>
      <c r="X80" s="57"/>
      <c r="Y80" s="57"/>
    </row>
    <row r="81" spans="6:25" x14ac:dyDescent="0.35">
      <c r="W81" s="57"/>
      <c r="X81" s="57"/>
      <c r="Y81" s="57"/>
    </row>
    <row r="82" spans="6:25" x14ac:dyDescent="0.35">
      <c r="W82" s="57"/>
      <c r="X82" s="57"/>
      <c r="Y82" s="57"/>
    </row>
    <row r="83" spans="6:25" s="57" customFormat="1" x14ac:dyDescent="0.35">
      <c r="F83" s="107"/>
      <c r="I83" s="48"/>
      <c r="O83" s="107"/>
      <c r="R83" s="48"/>
      <c r="W83" s="4"/>
      <c r="X83" s="4"/>
      <c r="Y83" s="4"/>
    </row>
    <row r="84" spans="6:25" s="57" customFormat="1" x14ac:dyDescent="0.35">
      <c r="I84" s="48"/>
      <c r="R84" s="48"/>
    </row>
    <row r="85" spans="6:25" s="57" customFormat="1" x14ac:dyDescent="0.35">
      <c r="I85" s="48"/>
      <c r="R85" s="48"/>
      <c r="W85" s="4"/>
      <c r="X85" s="4"/>
      <c r="Y85" s="4"/>
    </row>
    <row r="87" spans="6:25" s="57" customFormat="1" x14ac:dyDescent="0.35">
      <c r="I87" s="48"/>
      <c r="R87" s="48"/>
    </row>
    <row r="88" spans="6:25" x14ac:dyDescent="0.35">
      <c r="W88" s="57"/>
      <c r="X88" s="57"/>
      <c r="Y88" s="57"/>
    </row>
    <row r="90" spans="6:25" s="57" customFormat="1" x14ac:dyDescent="0.35">
      <c r="I90" s="108"/>
      <c r="R90" s="108"/>
    </row>
    <row r="91" spans="6:25" s="57" customFormat="1" x14ac:dyDescent="0.35">
      <c r="I91" s="48"/>
      <c r="R91" s="48"/>
      <c r="W91" s="4"/>
      <c r="X91" s="4"/>
      <c r="Y91" s="4"/>
    </row>
    <row r="93" spans="6:25" s="57" customFormat="1" x14ac:dyDescent="0.35">
      <c r="I93" s="109"/>
      <c r="R93" s="109"/>
      <c r="W93" s="4"/>
      <c r="X93" s="4"/>
      <c r="Y93" s="4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B23">
    <cfRule type="cellIs" dxfId="109" priority="1" operator="notBetween">
      <formula>$K$56*0.98</formula>
      <formula>$K$56*1.02</formula>
    </cfRule>
  </conditionalFormatting>
  <conditionalFormatting sqref="C23">
    <cfRule type="cellIs" dxfId="108" priority="2" operator="notBetween">
      <formula>$K$56*0.98</formula>
      <formula>$K$56*1.02</formula>
    </cfRule>
  </conditionalFormatting>
  <conditionalFormatting sqref="C1:D1">
    <cfRule type="iconSet" priority="38">
      <iconSet iconSet="3Signs">
        <cfvo type="percent" val="0"/>
        <cfvo type="percent" val="33"/>
        <cfvo type="percent" val="67"/>
      </iconSet>
    </cfRule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  <cfRule type="iconSet" priority="2532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106" priority="22" operator="lessThan">
      <formula>0.6</formula>
    </cfRule>
    <cfRule type="cellIs" dxfId="107" priority="23" operator="greaterThan">
      <formula>0.7</formula>
    </cfRule>
  </conditionalFormatting>
  <conditionalFormatting sqref="G41">
    <cfRule type="cellIs" dxfId="105" priority="20" operator="lessThan">
      <formula>6.5</formula>
    </cfRule>
    <cfRule type="cellIs" dxfId="104" priority="21" operator="greaterThan">
      <formula>7.5</formula>
    </cfRule>
  </conditionalFormatting>
  <conditionalFormatting sqref="J25">
    <cfRule type="cellIs" dxfId="103" priority="36" operator="lessThan">
      <formula>1</formula>
    </cfRule>
    <cfRule type="cellIs" dxfId="102" priority="37" operator="greaterThan">
      <formula>1.2</formula>
    </cfRule>
  </conditionalFormatting>
  <conditionalFormatting sqref="J27">
    <cfRule type="cellIs" dxfId="101" priority="35" operator="lessThan">
      <formula>140</formula>
    </cfRule>
  </conditionalFormatting>
  <conditionalFormatting sqref="J29">
    <cfRule type="cellIs" dxfId="100" priority="33" operator="lessThan">
      <formula>1.05</formula>
    </cfRule>
    <cfRule type="cellIs" dxfId="99" priority="34" operator="greaterThan">
      <formula>1.4</formula>
    </cfRule>
  </conditionalFormatting>
  <conditionalFormatting sqref="J31">
    <cfRule type="cellIs" dxfId="98" priority="31" operator="lessThan">
      <formula>0.7</formula>
    </cfRule>
    <cfRule type="cellIs" dxfId="97" priority="32" operator="greaterThan">
      <formula>1</formula>
    </cfRule>
  </conditionalFormatting>
  <conditionalFormatting sqref="J33">
    <cfRule type="cellIs" dxfId="96" priority="29" operator="lessThan">
      <formula>15</formula>
    </cfRule>
    <cfRule type="cellIs" dxfId="95" priority="30" operator="greaterThan">
      <formula>19</formula>
    </cfRule>
  </conditionalFormatting>
  <conditionalFormatting sqref="J35">
    <cfRule type="cellIs" dxfId="94" priority="27" operator="lessThan">
      <formula>6</formula>
    </cfRule>
    <cfRule type="cellIs" dxfId="93" priority="28" operator="greaterThan">
      <formula>7.5</formula>
    </cfRule>
  </conditionalFormatting>
  <conditionalFormatting sqref="J37">
    <cfRule type="cellIs" dxfId="92" priority="25" operator="lessThan">
      <formula>1.1</formula>
    </cfRule>
    <cfRule type="cellIs" dxfId="91" priority="26" operator="greaterThan">
      <formula>1.5</formula>
    </cfRule>
  </conditionalFormatting>
  <conditionalFormatting sqref="J39">
    <cfRule type="cellIs" dxfId="90" priority="24" operator="greaterThan">
      <formula>0.69</formula>
    </cfRule>
  </conditionalFormatting>
  <conditionalFormatting sqref="P44">
    <cfRule type="cellIs" dxfId="88" priority="3" operator="lessThan">
      <formula>0.82</formula>
    </cfRule>
    <cfRule type="cellIs" dxfId="89" priority="4" operator="greaterThan">
      <formula>0.88</formula>
    </cfRule>
  </conditionalFormatting>
  <conditionalFormatting sqref="S25">
    <cfRule type="cellIs" dxfId="87" priority="18" operator="lessThan">
      <formula>0.9</formula>
    </cfRule>
    <cfRule type="cellIs" dxfId="86" priority="19" operator="greaterThan">
      <formula>1.2</formula>
    </cfRule>
  </conditionalFormatting>
  <conditionalFormatting sqref="S27">
    <cfRule type="cellIs" dxfId="85" priority="16" operator="lessThan">
      <formula>139</formula>
    </cfRule>
    <cfRule type="cellIs" dxfId="84" priority="17" operator="greaterThan">
      <formula>160</formula>
    </cfRule>
  </conditionalFormatting>
  <conditionalFormatting sqref="S29">
    <cfRule type="cellIs" dxfId="83" priority="14" operator="lessThan">
      <formula>1.05</formula>
    </cfRule>
    <cfRule type="cellIs" dxfId="82" priority="15" operator="greaterThan">
      <formula>1.4</formula>
    </cfRule>
  </conditionalFormatting>
  <conditionalFormatting sqref="S31">
    <cfRule type="cellIs" dxfId="81" priority="12" operator="lessThan">
      <formula>0.71</formula>
    </cfRule>
    <cfRule type="cellIs" dxfId="80" priority="13" operator="greaterThan">
      <formula>0.9</formula>
    </cfRule>
  </conditionalFormatting>
  <conditionalFormatting sqref="S33">
    <cfRule type="cellIs" dxfId="79" priority="10" operator="lessThan">
      <formula>15</formula>
    </cfRule>
    <cfRule type="cellIs" dxfId="78" priority="11" operator="greaterThan">
      <formula>19</formula>
    </cfRule>
  </conditionalFormatting>
  <conditionalFormatting sqref="S35">
    <cfRule type="cellIs" dxfId="77" priority="8" operator="lessThan">
      <formula>6</formula>
    </cfRule>
    <cfRule type="cellIs" dxfId="76" priority="9" operator="greaterThan">
      <formula>7.5</formula>
    </cfRule>
  </conditionalFormatting>
  <conditionalFormatting sqref="S37">
    <cfRule type="cellIs" dxfId="75" priority="6" operator="lessThan">
      <formula>1.1</formula>
    </cfRule>
    <cfRule type="cellIs" dxfId="74" priority="7" operator="greaterThan">
      <formula>1.5</formula>
    </cfRule>
  </conditionalFormatting>
  <conditionalFormatting sqref="S39">
    <cfRule type="cellIs" dxfId="73" priority="5" operator="greaterThan">
      <formula>0.69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A7634-3798-4AB8-8DE0-799368918DE0}">
  <dimension ref="B3:AB43"/>
  <sheetViews>
    <sheetView workbookViewId="0">
      <selection sqref="A1:XFD1048576"/>
    </sheetView>
  </sheetViews>
  <sheetFormatPr defaultColWidth="9.1796875" defaultRowHeight="14.5" x14ac:dyDescent="0.35"/>
  <cols>
    <col min="1" max="1" width="9.1796875" style="110"/>
    <col min="2" max="2" width="6.90625" style="110" customWidth="1"/>
    <col min="3" max="3" width="19.453125" style="110" customWidth="1"/>
    <col min="4" max="4" width="15.36328125" style="110" hidden="1" customWidth="1"/>
    <col min="5" max="5" width="6.453125" style="110" hidden="1" customWidth="1"/>
    <col min="6" max="6" width="12" style="110" hidden="1" customWidth="1"/>
    <col min="7" max="7" width="15.54296875" style="110" hidden="1" customWidth="1"/>
    <col min="8" max="8" width="11.90625" style="110" hidden="1" customWidth="1"/>
    <col min="9" max="9" width="11" style="110" hidden="1" customWidth="1"/>
    <col min="10" max="10" width="9.36328125" style="110" hidden="1" customWidth="1"/>
    <col min="11" max="11" width="6.54296875" style="110" customWidth="1"/>
    <col min="12" max="12" width="40" style="110" customWidth="1"/>
    <col min="13" max="13" width="20.08984375" style="110" customWidth="1"/>
    <col min="14" max="14" width="11" style="110" customWidth="1"/>
    <col min="15" max="15" width="11.90625" style="110" customWidth="1"/>
    <col min="16" max="16384" width="9.1796875" style="110"/>
  </cols>
  <sheetData>
    <row r="3" spans="2:13" ht="28.5" x14ac:dyDescent="0.35">
      <c r="C3" s="111" t="s">
        <v>57</v>
      </c>
      <c r="D3" s="112" t="s">
        <v>0</v>
      </c>
      <c r="E3" s="112"/>
      <c r="G3" s="112"/>
      <c r="I3" s="110" t="s">
        <v>0</v>
      </c>
    </row>
    <row r="4" spans="2:13" x14ac:dyDescent="0.35">
      <c r="F4" s="113" t="s">
        <v>58</v>
      </c>
      <c r="G4" s="113"/>
    </row>
    <row r="5" spans="2:13" ht="13.5" customHeight="1" x14ac:dyDescent="0.35">
      <c r="C5" s="114"/>
      <c r="D5" s="115"/>
      <c r="E5" s="112"/>
      <c r="F5" s="116" t="s">
        <v>59</v>
      </c>
      <c r="G5" s="116" t="s">
        <v>60</v>
      </c>
      <c r="H5" s="112" t="s">
        <v>61</v>
      </c>
      <c r="I5" s="112" t="s">
        <v>62</v>
      </c>
    </row>
    <row r="6" spans="2:13" ht="15.5" x14ac:dyDescent="0.35">
      <c r="B6" s="117" t="s">
        <v>63</v>
      </c>
      <c r="C6" s="118">
        <f>[1]POPULATE!D6</f>
        <v>1405</v>
      </c>
      <c r="D6" s="119">
        <f>[1]POPULATE!D6</f>
        <v>1405</v>
      </c>
      <c r="E6" s="120"/>
      <c r="F6" s="121"/>
      <c r="G6" s="121"/>
      <c r="H6" s="122">
        <f>D6</f>
        <v>1405</v>
      </c>
      <c r="I6" s="122">
        <v>510</v>
      </c>
      <c r="J6" s="123">
        <f>(I6-[1]POPULATE!D6)/I6</f>
        <v>-1.7549019607843137</v>
      </c>
      <c r="K6" s="124"/>
    </row>
    <row r="7" spans="2:13" ht="15.5" x14ac:dyDescent="0.35">
      <c r="B7" s="117" t="s">
        <v>64</v>
      </c>
      <c r="C7" s="125">
        <f>H7</f>
        <v>0.82699305325835271</v>
      </c>
      <c r="D7" s="119">
        <f>[1]POPULATE!D7</f>
        <v>1.1821999999999999</v>
      </c>
      <c r="E7" s="126"/>
      <c r="F7" s="127">
        <v>2.7E-2</v>
      </c>
      <c r="G7" s="128">
        <f>+[1]POPULATE!D7+F7</f>
        <v>1.2091999999999998</v>
      </c>
      <c r="H7" s="129">
        <f>1/G7</f>
        <v>0.82699305325835271</v>
      </c>
      <c r="I7" s="129">
        <v>1.1924999999999999</v>
      </c>
      <c r="J7" s="123">
        <f>(I7-[1]POPULATE!D7)/I7</f>
        <v>8.637316561844844E-3</v>
      </c>
      <c r="K7" s="124"/>
      <c r="M7" s="130"/>
    </row>
    <row r="8" spans="2:13" ht="15.5" x14ac:dyDescent="0.35">
      <c r="B8" s="117" t="s">
        <v>65</v>
      </c>
      <c r="C8" s="118">
        <f>H8</f>
        <v>153.33000000000001</v>
      </c>
      <c r="D8" s="119">
        <f>[1]POPULATE!D8</f>
        <v>155.33000000000001</v>
      </c>
      <c r="E8" s="126"/>
      <c r="F8" s="127">
        <v>2</v>
      </c>
      <c r="G8" s="128">
        <f>+[1]POPULATE!D8-F8</f>
        <v>153.33000000000001</v>
      </c>
      <c r="H8" s="131">
        <f>G8</f>
        <v>153.33000000000001</v>
      </c>
      <c r="I8" s="131">
        <v>104.06</v>
      </c>
      <c r="J8" s="123">
        <f>(I8-[1]POPULATE!D8)/I8</f>
        <v>-0.49269652123774754</v>
      </c>
      <c r="K8" s="124"/>
      <c r="M8" s="132"/>
    </row>
    <row r="9" spans="2:13" ht="15.5" x14ac:dyDescent="0.35">
      <c r="B9" s="117" t="s">
        <v>66</v>
      </c>
      <c r="C9" s="125">
        <f t="shared" ref="C9:C30" si="0">H9</f>
        <v>0.71808128680166594</v>
      </c>
      <c r="D9" s="119">
        <f>[1]POPULATE!D9</f>
        <v>1.3706</v>
      </c>
      <c r="E9" s="126"/>
      <c r="F9" s="127">
        <v>2.1999999999999999E-2</v>
      </c>
      <c r="G9" s="128">
        <f>[1]POPULATE!D9+F9</f>
        <v>1.3926000000000001</v>
      </c>
      <c r="H9" s="131">
        <f>1/G9</f>
        <v>0.71808128680166594</v>
      </c>
      <c r="I9" s="131">
        <v>1.3365</v>
      </c>
      <c r="J9" s="123">
        <f>(I9-[1]POPULATE!D9)/I9</f>
        <v>-2.5514403292181083E-2</v>
      </c>
      <c r="K9" s="124"/>
    </row>
    <row r="10" spans="2:13" ht="15.5" x14ac:dyDescent="0.35">
      <c r="B10" s="117" t="s">
        <v>67</v>
      </c>
      <c r="C10" s="125">
        <f t="shared" si="0"/>
        <v>0.75209999999999999</v>
      </c>
      <c r="D10" s="119">
        <f>[1]POPULATE!D10</f>
        <v>0.77710000000000001</v>
      </c>
      <c r="E10" s="126"/>
      <c r="F10" s="127">
        <v>2.5000000000000001E-2</v>
      </c>
      <c r="G10" s="128">
        <f>[1]POPULATE!D10-F10</f>
        <v>0.75209999999999999</v>
      </c>
      <c r="H10" s="131">
        <f t="shared" ref="H10:H43" si="1">G10</f>
        <v>0.75209999999999999</v>
      </c>
      <c r="I10" s="131">
        <v>0.90620000000000001</v>
      </c>
      <c r="J10" s="123">
        <f>(I10-[1]POPULATE!D10)/I10</f>
        <v>0.14246303244316927</v>
      </c>
      <c r="K10" s="124"/>
    </row>
    <row r="11" spans="2:13" ht="15.5" x14ac:dyDescent="0.35">
      <c r="B11" s="117" t="s">
        <v>68</v>
      </c>
      <c r="C11" s="125">
        <f>H11</f>
        <v>15.738799999999999</v>
      </c>
      <c r="D11" s="119">
        <f>[1]POPULATE!D11</f>
        <v>15.918799999999999</v>
      </c>
      <c r="E11" s="126"/>
      <c r="F11" s="127">
        <v>0.18</v>
      </c>
      <c r="G11" s="128">
        <f>[1]POPULATE!D11-F11</f>
        <v>15.738799999999999</v>
      </c>
      <c r="H11" s="131">
        <f t="shared" si="1"/>
        <v>15.738799999999999</v>
      </c>
      <c r="I11" s="131">
        <v>15.200200000000001</v>
      </c>
      <c r="J11" s="123">
        <f>(I11-[1]POPULATE!D11)/I11</f>
        <v>-4.7275693740871733E-2</v>
      </c>
      <c r="K11" s="124"/>
    </row>
    <row r="12" spans="2:13" ht="15.5" x14ac:dyDescent="0.35">
      <c r="B12" s="117" t="s">
        <v>69</v>
      </c>
      <c r="C12" s="125">
        <f t="shared" si="0"/>
        <v>6.2229999999999999</v>
      </c>
      <c r="D12" s="119">
        <f>[1]POPULATE!D12</f>
        <v>6.3179999999999996</v>
      </c>
      <c r="E12" s="133"/>
      <c r="F12" s="127">
        <v>9.5000000000000001E-2</v>
      </c>
      <c r="G12" s="128">
        <f>[1]POPULATE!D12-F12</f>
        <v>6.2229999999999999</v>
      </c>
      <c r="H12" s="131">
        <f t="shared" si="1"/>
        <v>6.2229999999999999</v>
      </c>
      <c r="I12" s="131">
        <v>6.2423999999999999</v>
      </c>
      <c r="J12" s="123">
        <f>(I12-[1]POPULATE!D12)/I12</f>
        <v>-1.2110726643598562E-2</v>
      </c>
      <c r="K12" s="134"/>
    </row>
    <row r="13" spans="2:13" ht="15.5" x14ac:dyDescent="0.35">
      <c r="B13" s="117" t="s">
        <v>70</v>
      </c>
      <c r="C13" s="135">
        <f>H13</f>
        <v>1.3384</v>
      </c>
      <c r="D13" s="119">
        <f>[1]POPULATE!D13</f>
        <v>1.3653999999999999</v>
      </c>
      <c r="E13" s="133"/>
      <c r="F13" s="133">
        <v>2.7E-2</v>
      </c>
      <c r="G13" s="135">
        <f>[1]POPULATE!D13-F13</f>
        <v>1.3384</v>
      </c>
      <c r="H13" s="131">
        <f t="shared" si="1"/>
        <v>1.3384</v>
      </c>
      <c r="I13" s="131">
        <v>1.3007</v>
      </c>
      <c r="J13" s="136">
        <f>(I13-[1]POPULATE!D13)/I13</f>
        <v>-4.9742446375028816E-2</v>
      </c>
      <c r="K13" s="124"/>
    </row>
    <row r="14" spans="2:13" ht="15.5" x14ac:dyDescent="0.35">
      <c r="B14" s="117" t="s">
        <v>71</v>
      </c>
      <c r="C14" s="125">
        <f t="shared" si="0"/>
        <v>1.3800717637317139</v>
      </c>
      <c r="D14" s="119">
        <f>[1]POPULATE!D14</f>
        <v>0.7046</v>
      </c>
      <c r="E14" s="126"/>
      <c r="F14" s="127">
        <v>0.02</v>
      </c>
      <c r="G14" s="128">
        <f>[1]POPULATE!D14+F14</f>
        <v>0.72460000000000002</v>
      </c>
      <c r="H14" s="131">
        <f>1/G14</f>
        <v>1.3800717637317139</v>
      </c>
      <c r="I14" s="131">
        <v>0.73750000000000004</v>
      </c>
      <c r="J14" s="123">
        <f>(I14-[1]POPULATE!D14)/I14</f>
        <v>4.4610169491525478E-2</v>
      </c>
      <c r="K14" s="124"/>
    </row>
    <row r="15" spans="2:13" ht="15.5" x14ac:dyDescent="0.35">
      <c r="B15" s="117" t="s">
        <v>72</v>
      </c>
      <c r="C15" s="125">
        <f t="shared" si="0"/>
        <v>6.8319000000000001</v>
      </c>
      <c r="D15" s="119">
        <f>[1]POPULATE!D15</f>
        <v>6.9318999999999997</v>
      </c>
      <c r="E15" s="133"/>
      <c r="F15" s="127">
        <v>0.1</v>
      </c>
      <c r="G15" s="128">
        <f>[1]POPULATE!D15-F15</f>
        <v>6.8319000000000001</v>
      </c>
      <c r="H15" s="131">
        <f t="shared" si="1"/>
        <v>6.8319000000000001</v>
      </c>
      <c r="I15" s="131">
        <v>6.5747999999999998</v>
      </c>
      <c r="J15" s="123">
        <f>(I15-[1]POPULATE!D15)/I15</f>
        <v>-5.431343919206668E-2</v>
      </c>
      <c r="K15" s="124"/>
    </row>
    <row r="16" spans="2:13" ht="15.5" x14ac:dyDescent="0.35">
      <c r="B16" s="117" t="s">
        <v>73</v>
      </c>
      <c r="C16" s="125">
        <f t="shared" si="0"/>
        <v>6.8064</v>
      </c>
      <c r="D16" s="119">
        <f>[1]POPULATE!D16</f>
        <v>6.9363999999999999</v>
      </c>
      <c r="E16" s="133"/>
      <c r="F16" s="127">
        <v>0.13</v>
      </c>
      <c r="G16" s="128">
        <f>[1]POPULATE!D16-F16</f>
        <v>6.8064</v>
      </c>
      <c r="H16" s="131">
        <f t="shared" si="1"/>
        <v>6.8064</v>
      </c>
      <c r="I16" s="131">
        <v>6.5807000000000002</v>
      </c>
      <c r="J16" s="123">
        <f>(I16-[1]POPULATE!D16)/I16</f>
        <v>-5.4052000547054217E-2</v>
      </c>
      <c r="K16" s="124"/>
    </row>
    <row r="17" spans="2:28" ht="15.5" x14ac:dyDescent="0.35">
      <c r="B17" s="117" t="s">
        <v>74</v>
      </c>
      <c r="C17" s="125">
        <f t="shared" si="0"/>
        <v>10.780000000000001</v>
      </c>
      <c r="D17" s="119">
        <f>[1]POPULATE!D17</f>
        <v>10.98</v>
      </c>
      <c r="E17" s="126"/>
      <c r="F17" s="127">
        <v>0.2</v>
      </c>
      <c r="G17" s="128">
        <f>[1]POPULATE!D17-F17</f>
        <v>10.780000000000001</v>
      </c>
      <c r="H17" s="131">
        <f t="shared" si="1"/>
        <v>10.780000000000001</v>
      </c>
      <c r="I17" s="131">
        <v>5.8</v>
      </c>
      <c r="J17" s="123">
        <f>(I17-[1]POPULATE!D17)/I17</f>
        <v>-0.89310344827586219</v>
      </c>
      <c r="K17" s="124"/>
    </row>
    <row r="18" spans="2:28" ht="15.5" x14ac:dyDescent="0.35">
      <c r="B18" s="117" t="s">
        <v>75</v>
      </c>
      <c r="C18" s="125">
        <f>H18</f>
        <v>43.344000000000001</v>
      </c>
      <c r="D18" s="119">
        <f>[1]POPULATE!D18</f>
        <v>43.494</v>
      </c>
      <c r="E18" s="126"/>
      <c r="F18" s="127">
        <v>0.15</v>
      </c>
      <c r="G18" s="128">
        <f>[1]POPULATE!D18-F18</f>
        <v>43.344000000000001</v>
      </c>
      <c r="H18" s="131">
        <f t="shared" si="1"/>
        <v>43.344000000000001</v>
      </c>
      <c r="I18" s="131">
        <v>6.9397000000000002</v>
      </c>
      <c r="J18" s="123">
        <f>(I18-[1]POPULATE!D18)/I18</f>
        <v>-5.2674178999092174</v>
      </c>
      <c r="K18" s="124"/>
    </row>
    <row r="19" spans="2:28" ht="15.5" x14ac:dyDescent="0.35">
      <c r="B19" s="117" t="s">
        <v>76</v>
      </c>
      <c r="C19" s="125">
        <f t="shared" si="0"/>
        <v>3.4782999999999999</v>
      </c>
      <c r="D19" s="119">
        <f>[1]POPULATE!D19</f>
        <v>3.5682999999999998</v>
      </c>
      <c r="E19" s="133"/>
      <c r="F19" s="127">
        <v>0.09</v>
      </c>
      <c r="G19" s="128">
        <f>[1]POPULATE!D19-F19</f>
        <v>3.4782999999999999</v>
      </c>
      <c r="H19" s="131">
        <f t="shared" si="1"/>
        <v>3.4782999999999999</v>
      </c>
      <c r="I19" s="131">
        <v>3.7557999999999998</v>
      </c>
      <c r="J19" s="123">
        <f>(I19-[1]POPULATE!D19)/I19</f>
        <v>4.9922786090846161E-2</v>
      </c>
      <c r="K19" s="124"/>
    </row>
    <row r="20" spans="2:28" ht="15.5" x14ac:dyDescent="0.35">
      <c r="B20" s="117" t="s">
        <v>77</v>
      </c>
      <c r="C20" s="125">
        <f>H20</f>
        <v>8.7779999999999987</v>
      </c>
      <c r="D20" s="119">
        <f>[1]POPULATE!D20</f>
        <v>8.9179999999999993</v>
      </c>
      <c r="E20" s="133"/>
      <c r="F20" s="127">
        <v>0.14000000000000001</v>
      </c>
      <c r="G20" s="128">
        <f>[1]POPULATE!D20-F20</f>
        <v>8.7779999999999987</v>
      </c>
      <c r="H20" s="131">
        <f t="shared" si="1"/>
        <v>8.7779999999999987</v>
      </c>
      <c r="I20" s="131">
        <v>8.5128000000000004</v>
      </c>
      <c r="J20" s="123">
        <f>(I20-[1]POPULATE!D20)/I20</f>
        <v>-4.7598909876891138E-2</v>
      </c>
      <c r="K20" s="124"/>
    </row>
    <row r="21" spans="2:28" ht="15.5" x14ac:dyDescent="0.35">
      <c r="B21" s="117" t="s">
        <v>78</v>
      </c>
      <c r="C21" s="118">
        <f t="shared" si="0"/>
        <v>126.47</v>
      </c>
      <c r="D21" s="119">
        <f>[1]POPULATE!D21</f>
        <v>129.07</v>
      </c>
      <c r="E21" s="133"/>
      <c r="F21" s="127">
        <v>2.6</v>
      </c>
      <c r="G21" s="128">
        <f>[1]POPULATE!D21-F21</f>
        <v>126.47</v>
      </c>
      <c r="H21" s="131">
        <f t="shared" si="1"/>
        <v>126.47</v>
      </c>
      <c r="I21" s="131">
        <v>109.9</v>
      </c>
      <c r="J21" s="123">
        <f>(I21-[1]POPULATE!D21)/I21</f>
        <v>-0.17443130118289341</v>
      </c>
      <c r="K21" s="124"/>
    </row>
    <row r="22" spans="2:28" ht="15.5" x14ac:dyDescent="0.35">
      <c r="B22" s="117" t="s">
        <v>79</v>
      </c>
      <c r="C22" s="118">
        <f t="shared" si="0"/>
        <v>554.89890000000003</v>
      </c>
      <c r="D22" s="119">
        <f>[1]POPULATE!D22</f>
        <v>554.89890000000003</v>
      </c>
      <c r="E22" s="137"/>
      <c r="F22" s="138">
        <v>0</v>
      </c>
      <c r="G22" s="139">
        <f>[1]POPULATE!D22-F22</f>
        <v>554.89890000000003</v>
      </c>
      <c r="H22" s="129">
        <f t="shared" si="1"/>
        <v>554.89890000000003</v>
      </c>
      <c r="I22" s="129">
        <v>470</v>
      </c>
      <c r="J22" s="123">
        <f>(I22-[1]POPULATE!D22)/I22</f>
        <v>-0.18063595744680858</v>
      </c>
      <c r="K22" s="124"/>
    </row>
    <row r="23" spans="2:28" ht="15.5" x14ac:dyDescent="0.35">
      <c r="B23" s="117" t="s">
        <v>80</v>
      </c>
      <c r="C23" s="118">
        <f t="shared" si="0"/>
        <v>88.37</v>
      </c>
      <c r="D23" s="119">
        <f>[1]POPULATE!D23</f>
        <v>90.37</v>
      </c>
      <c r="E23" s="133"/>
      <c r="F23" s="127">
        <v>2</v>
      </c>
      <c r="G23" s="128">
        <f>[1]POPULATE!D23-F23</f>
        <v>88.37</v>
      </c>
      <c r="H23" s="131">
        <f t="shared" si="1"/>
        <v>88.37</v>
      </c>
      <c r="I23" s="131">
        <v>73.930000000000007</v>
      </c>
      <c r="J23" s="123">
        <f>(I23-[1]POPULATE!D23)/I23</f>
        <v>-0.22237251454078177</v>
      </c>
      <c r="K23" s="124"/>
      <c r="AB23" s="140"/>
    </row>
    <row r="24" spans="2:28" ht="15.5" x14ac:dyDescent="0.35">
      <c r="B24" s="141" t="s">
        <v>81</v>
      </c>
      <c r="C24" s="118">
        <f t="shared" si="0"/>
        <v>99.875700000000009</v>
      </c>
      <c r="D24" s="119">
        <f>[1]POPULATE!D24</f>
        <v>101.4757</v>
      </c>
      <c r="E24" s="133"/>
      <c r="F24" s="127">
        <v>1.6</v>
      </c>
      <c r="G24" s="128">
        <f>[1]POPULATE!D24-F24</f>
        <v>99.875700000000009</v>
      </c>
      <c r="H24" s="131">
        <f t="shared" si="1"/>
        <v>99.875700000000009</v>
      </c>
      <c r="I24" s="131">
        <v>99.93</v>
      </c>
      <c r="J24" s="123">
        <f>(I24-[1]POPULATE!D24)/I24</f>
        <v>-1.5467827479235429E-2</v>
      </c>
      <c r="K24" s="124"/>
    </row>
    <row r="25" spans="2:28" ht="15.5" x14ac:dyDescent="0.35">
      <c r="B25" s="117" t="s">
        <v>82</v>
      </c>
      <c r="C25" s="125">
        <f t="shared" si="0"/>
        <v>3.5979999999999999</v>
      </c>
      <c r="D25" s="119">
        <f>[1]POPULATE!D25</f>
        <v>3.673</v>
      </c>
      <c r="E25" s="126"/>
      <c r="F25" s="127">
        <v>7.4999999999999997E-2</v>
      </c>
      <c r="G25" s="128">
        <f>[1]POPULATE!D25-F25</f>
        <v>3.5979999999999999</v>
      </c>
      <c r="H25" s="131">
        <f t="shared" si="1"/>
        <v>3.5979999999999999</v>
      </c>
      <c r="I25" s="131">
        <v>3.6728000000000001</v>
      </c>
      <c r="J25" s="123">
        <f>(I25-[1]POPULATE!D25)/I25</f>
        <v>-5.4454367240246667E-5</v>
      </c>
      <c r="K25" s="124"/>
    </row>
    <row r="26" spans="2:28" ht="15.5" x14ac:dyDescent="0.35">
      <c r="B26" s="117" t="s">
        <v>83</v>
      </c>
      <c r="C26" s="125">
        <f t="shared" si="0"/>
        <v>1.2379</v>
      </c>
      <c r="D26" s="119">
        <f>[1]POPULATE!D26</f>
        <v>1.2679</v>
      </c>
      <c r="E26" s="126"/>
      <c r="F26" s="127">
        <v>0.03</v>
      </c>
      <c r="G26" s="128">
        <f>[1]POPULATE!D26-F26</f>
        <v>1.2379</v>
      </c>
      <c r="H26" s="131">
        <f t="shared" si="1"/>
        <v>1.2379</v>
      </c>
      <c r="I26" s="131">
        <v>1.3382000000000001</v>
      </c>
      <c r="J26" s="123">
        <f>(I26-[1]POPULATE!D26)/I26</f>
        <v>5.2533253624271428E-2</v>
      </c>
      <c r="K26" s="124"/>
    </row>
    <row r="27" spans="2:28" ht="15.5" x14ac:dyDescent="0.35">
      <c r="B27" s="117" t="s">
        <v>84</v>
      </c>
      <c r="C27" s="118">
        <f>H27</f>
        <v>3534</v>
      </c>
      <c r="D27" s="119">
        <f>[1]POPULATE!D27</f>
        <v>3570</v>
      </c>
      <c r="E27" s="133"/>
      <c r="F27" s="127">
        <v>36</v>
      </c>
      <c r="G27" s="128">
        <f>[1]POPULATE!D27-F27</f>
        <v>3534</v>
      </c>
      <c r="H27" s="131">
        <f t="shared" si="1"/>
        <v>3534</v>
      </c>
      <c r="I27" s="131">
        <v>3692</v>
      </c>
      <c r="J27" s="123">
        <f>(I27-[1]POPULATE!D27)/I27</f>
        <v>3.3044420368364032E-2</v>
      </c>
      <c r="K27" s="124"/>
    </row>
    <row r="28" spans="2:28" ht="15.5" x14ac:dyDescent="0.35">
      <c r="B28" s="117" t="s">
        <v>85</v>
      </c>
      <c r="C28" s="118">
        <f t="shared" si="0"/>
        <v>305.43</v>
      </c>
      <c r="D28" s="119">
        <f>[1]POPULATE!D28</f>
        <v>309.43</v>
      </c>
      <c r="E28" s="133"/>
      <c r="F28" s="127">
        <v>4</v>
      </c>
      <c r="G28" s="128">
        <f>[1]POPULATE!D28-F28</f>
        <v>305.43</v>
      </c>
      <c r="H28" s="131">
        <f t="shared" si="1"/>
        <v>305.43</v>
      </c>
      <c r="I28" s="131">
        <v>184.8</v>
      </c>
      <c r="J28" s="123">
        <f>(I28-[1]POPULATE!D28)/I28</f>
        <v>-0.67440476190476184</v>
      </c>
      <c r="K28" s="124"/>
    </row>
    <row r="29" spans="2:28" ht="15.5" x14ac:dyDescent="0.35">
      <c r="B29" s="117" t="s">
        <v>86</v>
      </c>
      <c r="C29" s="125">
        <f t="shared" si="0"/>
        <v>2.9964999999999997</v>
      </c>
      <c r="D29" s="119">
        <f>[1]POPULATE!D29</f>
        <v>3.0914999999999999</v>
      </c>
      <c r="E29" s="133"/>
      <c r="F29" s="127">
        <v>9.5000000000000001E-2</v>
      </c>
      <c r="G29" s="128">
        <f>[1]POPULATE!D29-F29</f>
        <v>2.9964999999999997</v>
      </c>
      <c r="H29" s="131">
        <f t="shared" si="1"/>
        <v>2.9964999999999997</v>
      </c>
      <c r="I29" s="131">
        <v>3.3174000000000001</v>
      </c>
      <c r="J29" s="123">
        <f>(I29-[1]POPULATE!D29)/I29</f>
        <v>6.8095496473141684E-2</v>
      </c>
      <c r="K29" s="124"/>
    </row>
    <row r="30" spans="2:28" ht="15.5" x14ac:dyDescent="0.35">
      <c r="B30" s="117" t="s">
        <v>87</v>
      </c>
      <c r="C30" s="118">
        <f t="shared" si="0"/>
        <v>2518.5</v>
      </c>
      <c r="D30" s="119">
        <f>[1]POPULATE!D30</f>
        <v>2588.5</v>
      </c>
      <c r="E30" s="133"/>
      <c r="F30" s="127">
        <v>70</v>
      </c>
      <c r="G30" s="128">
        <f>[1]POPULATE!D30-F30</f>
        <v>2518.5</v>
      </c>
      <c r="H30" s="131">
        <f>G30</f>
        <v>2518.5</v>
      </c>
      <c r="I30" s="131">
        <v>2314</v>
      </c>
      <c r="J30" s="123">
        <f>(I30-[1]POPULATE!D30)/I30</f>
        <v>-0.11862575626620571</v>
      </c>
      <c r="K30" s="124"/>
      <c r="L30" s="132"/>
    </row>
    <row r="31" spans="2:28" ht="15.5" x14ac:dyDescent="0.35">
      <c r="B31" s="117" t="s">
        <v>88</v>
      </c>
      <c r="C31" s="125">
        <f>H31</f>
        <v>13.7254</v>
      </c>
      <c r="D31" s="119">
        <f>[1]POPULATE!D31</f>
        <v>13.8504</v>
      </c>
      <c r="E31" s="133"/>
      <c r="F31" s="127">
        <v>0.125</v>
      </c>
      <c r="G31" s="128">
        <f>[1]POPULATE!D31-F31</f>
        <v>13.7254</v>
      </c>
      <c r="H31" s="131">
        <f>G31</f>
        <v>13.7254</v>
      </c>
      <c r="I31" s="131">
        <v>11.013199999999999</v>
      </c>
      <c r="J31" s="123">
        <f>(I31-[1]POPULATE!D31)/I31</f>
        <v>-0.25761813097010872</v>
      </c>
      <c r="K31" s="124"/>
      <c r="L31" s="132"/>
    </row>
    <row r="32" spans="2:28" ht="15.5" x14ac:dyDescent="0.35">
      <c r="B32" s="117" t="s">
        <v>89</v>
      </c>
      <c r="C32" s="125">
        <f>H32</f>
        <v>6.6597</v>
      </c>
      <c r="D32" s="119">
        <f>[1]POPULATE!D32</f>
        <v>6.7596999999999996</v>
      </c>
      <c r="E32" s="133"/>
      <c r="F32" s="127">
        <v>0.1</v>
      </c>
      <c r="G32" s="128">
        <f>[1]POPULATE!D32-F32</f>
        <v>6.6597</v>
      </c>
      <c r="H32" s="131">
        <f>G32</f>
        <v>6.6597</v>
      </c>
      <c r="I32" s="131">
        <v>6.7428999999999997</v>
      </c>
      <c r="J32" s="123">
        <f>(I32-[1]POPULATE!D32)/I32</f>
        <v>-2.4915095878627782E-3</v>
      </c>
      <c r="K32" s="124"/>
    </row>
    <row r="33" spans="2:22" ht="15.5" x14ac:dyDescent="0.35">
      <c r="B33" s="117" t="s">
        <v>90</v>
      </c>
      <c r="C33" s="125">
        <f t="shared" ref="C33:C43" si="2">H33</f>
        <v>45.27</v>
      </c>
      <c r="D33" s="119">
        <f>[1]POPULATE!D33</f>
        <v>46.07</v>
      </c>
      <c r="E33" s="133"/>
      <c r="F33" s="127">
        <v>0.8</v>
      </c>
      <c r="G33" s="128">
        <f>[1]POPULATE!D33-F33</f>
        <v>45.27</v>
      </c>
      <c r="H33" s="131">
        <f t="shared" si="1"/>
        <v>45.27</v>
      </c>
      <c r="I33" s="131">
        <v>39.700000000000003</v>
      </c>
      <c r="J33" s="123">
        <f>(I33-[1]POPULATE!D33)/I33</f>
        <v>-0.16045340050377827</v>
      </c>
      <c r="K33" s="124"/>
    </row>
    <row r="34" spans="2:22" ht="15.5" x14ac:dyDescent="0.35">
      <c r="B34" s="117" t="s">
        <v>91</v>
      </c>
      <c r="C34" s="118">
        <f t="shared" si="2"/>
        <v>544.39400000000001</v>
      </c>
      <c r="D34" s="119">
        <f>[1]POPULATE!D34</f>
        <v>554.89400000000001</v>
      </c>
      <c r="E34" s="133"/>
      <c r="F34" s="127">
        <v>10.5</v>
      </c>
      <c r="G34" s="128">
        <f>[1]POPULATE!D34-F34</f>
        <v>544.39400000000001</v>
      </c>
      <c r="H34" s="131">
        <f t="shared" si="1"/>
        <v>544.39400000000001</v>
      </c>
      <c r="I34" s="131">
        <v>550.59699999999998</v>
      </c>
      <c r="J34" s="123">
        <f>(I34-[1]POPULATE!D34)/I34</f>
        <v>-7.8042561074615838E-3</v>
      </c>
      <c r="K34" s="124"/>
    </row>
    <row r="35" spans="2:22" ht="15.5" x14ac:dyDescent="0.35">
      <c r="B35" s="117" t="s">
        <v>92</v>
      </c>
      <c r="C35" s="135">
        <f t="shared" si="2"/>
        <v>4.2322999999999995</v>
      </c>
      <c r="D35" s="119">
        <f>[1]POPULATE!D35</f>
        <v>4.3122999999999996</v>
      </c>
      <c r="E35" s="133"/>
      <c r="F35" s="133">
        <v>0.08</v>
      </c>
      <c r="G35" s="135">
        <f>[1]POPULATE!D35-F35</f>
        <v>4.2322999999999995</v>
      </c>
      <c r="H35" s="131">
        <f t="shared" si="1"/>
        <v>4.2322999999999995</v>
      </c>
      <c r="I35" s="131">
        <v>4.0871000000000004</v>
      </c>
      <c r="J35" s="136">
        <f>(I35-[1]POPULATE!D35)/I35</f>
        <v>-5.5100193291086383E-2</v>
      </c>
      <c r="K35" s="124"/>
      <c r="U35" s="142"/>
    </row>
    <row r="36" spans="2:22" ht="15.5" x14ac:dyDescent="0.35">
      <c r="B36" s="117" t="s">
        <v>93</v>
      </c>
      <c r="C36" s="143">
        <f t="shared" si="2"/>
        <v>23411.671900000001</v>
      </c>
      <c r="D36" s="119">
        <f>[1]POPULATE!D36</f>
        <v>24011.671900000001</v>
      </c>
      <c r="E36" s="133"/>
      <c r="F36" s="127">
        <v>600</v>
      </c>
      <c r="G36" s="128">
        <f>[1]POPULATE!D36-F36</f>
        <v>23411.671900000001</v>
      </c>
      <c r="H36" s="131">
        <f t="shared" si="1"/>
        <v>23411.671900000001</v>
      </c>
      <c r="I36" s="131">
        <v>10040.459000000001</v>
      </c>
      <c r="J36" s="123">
        <f>(I36-[1]POPULATE!D36)/I36</f>
        <v>-1.3914914547233348</v>
      </c>
      <c r="K36" s="124"/>
      <c r="V36" s="142"/>
    </row>
    <row r="37" spans="2:22" ht="15.5" x14ac:dyDescent="0.35">
      <c r="B37" s="117" t="s">
        <v>94</v>
      </c>
      <c r="C37" s="118">
        <f t="shared" si="2"/>
        <v>41.95</v>
      </c>
      <c r="D37" s="119">
        <f>[1]POPULATE!D37</f>
        <v>43.25</v>
      </c>
      <c r="E37" s="133"/>
      <c r="F37" s="127">
        <v>1.3</v>
      </c>
      <c r="G37" s="128">
        <f>[1]POPULATE!D37-F37</f>
        <v>41.95</v>
      </c>
      <c r="H37" s="131">
        <f t="shared" si="1"/>
        <v>41.95</v>
      </c>
      <c r="I37" s="131">
        <v>28.459</v>
      </c>
      <c r="J37" s="123">
        <f>(I37-[1]POPULATE!D37)/I37</f>
        <v>-0.51973013809339752</v>
      </c>
      <c r="K37" s="124"/>
    </row>
    <row r="38" spans="2:22" ht="15.5" x14ac:dyDescent="0.35">
      <c r="B38" s="117" t="s">
        <v>95</v>
      </c>
      <c r="C38" s="125">
        <f t="shared" si="2"/>
        <v>2.625</v>
      </c>
      <c r="D38" s="119">
        <f>[1]POPULATE!D38</f>
        <v>2.7</v>
      </c>
      <c r="E38" s="133"/>
      <c r="F38" s="127">
        <v>7.4999999999999997E-2</v>
      </c>
      <c r="G38" s="128">
        <f>[1]POPULATE!D38-F38</f>
        <v>2.625</v>
      </c>
      <c r="H38" s="131">
        <f t="shared" si="1"/>
        <v>2.625</v>
      </c>
      <c r="I38" s="131">
        <v>2.7</v>
      </c>
      <c r="J38" s="123">
        <f>(I38-[1]POPULATE!D38)/I38</f>
        <v>0</v>
      </c>
      <c r="K38" s="124"/>
    </row>
    <row r="39" spans="2:22" ht="15.5" x14ac:dyDescent="0.35">
      <c r="B39" s="117" t="s">
        <v>96</v>
      </c>
      <c r="C39" s="118">
        <f>H39</f>
        <v>3188.47</v>
      </c>
      <c r="D39" s="119">
        <f>[1]POPULATE!D39</f>
        <v>3227.47</v>
      </c>
      <c r="E39" s="133"/>
      <c r="F39" s="127">
        <v>39</v>
      </c>
      <c r="G39" s="128">
        <f>[1]POPULATE!D39-F39</f>
        <v>3188.47</v>
      </c>
      <c r="H39" s="131">
        <f t="shared" si="1"/>
        <v>3188.47</v>
      </c>
      <c r="I39" s="131">
        <v>1312</v>
      </c>
      <c r="J39" s="123">
        <f>(I39-[1]POPULATE!D39)/I39</f>
        <v>-1.4599618902439022</v>
      </c>
      <c r="K39" s="124"/>
    </row>
    <row r="40" spans="2:22" ht="15.5" x14ac:dyDescent="0.35">
      <c r="B40" s="117" t="s">
        <v>97</v>
      </c>
      <c r="C40" s="118">
        <f t="shared" si="2"/>
        <v>57.389000000000003</v>
      </c>
      <c r="D40" s="119">
        <f>[1]POPULATE!D40</f>
        <v>58.899000000000001</v>
      </c>
      <c r="E40" s="133"/>
      <c r="F40" s="127">
        <v>1.51</v>
      </c>
      <c r="G40" s="128">
        <f>[1]POPULATE!D40-F40</f>
        <v>57.389000000000003</v>
      </c>
      <c r="H40" s="131">
        <f t="shared" si="1"/>
        <v>57.389000000000003</v>
      </c>
      <c r="I40" s="131">
        <v>48.14</v>
      </c>
      <c r="J40" s="123">
        <f>(I40-[1]POPULATE!D40)/I40</f>
        <v>-0.22349397590361447</v>
      </c>
      <c r="K40" s="124"/>
    </row>
    <row r="41" spans="2:22" ht="15.5" x14ac:dyDescent="0.35">
      <c r="B41" s="117" t="s">
        <v>98</v>
      </c>
      <c r="C41" s="118">
        <f>H41</f>
        <v>25620</v>
      </c>
      <c r="D41" s="119">
        <f>[1]POPULATE!D41</f>
        <v>26020</v>
      </c>
      <c r="E41" s="133"/>
      <c r="F41" s="127">
        <v>400</v>
      </c>
      <c r="G41" s="128">
        <f>[1]POPULATE!D41-F41</f>
        <v>25620</v>
      </c>
      <c r="H41" s="131">
        <f t="shared" si="1"/>
        <v>25620</v>
      </c>
      <c r="I41" s="131">
        <v>23160</v>
      </c>
      <c r="J41" s="123">
        <f>(I41-[1]POPULATE!D41)/I41</f>
        <v>-0.1234887737478411</v>
      </c>
      <c r="K41" s="124"/>
    </row>
    <row r="42" spans="2:22" ht="15.5" x14ac:dyDescent="0.35">
      <c r="B42" s="117" t="s">
        <v>99</v>
      </c>
      <c r="C42" s="125">
        <f t="shared" si="2"/>
        <v>7.7133000000000003</v>
      </c>
      <c r="D42" s="119">
        <f>[1]POPULATE!D42</f>
        <v>7.8132999999999999</v>
      </c>
      <c r="E42" s="133"/>
      <c r="F42" s="127">
        <v>0.1</v>
      </c>
      <c r="G42" s="128">
        <f>[1]POPULATE!D42-F42</f>
        <v>7.7133000000000003</v>
      </c>
      <c r="H42" s="131">
        <f t="shared" si="1"/>
        <v>7.7133000000000003</v>
      </c>
      <c r="I42" s="131">
        <v>7.7507000000000001</v>
      </c>
      <c r="J42" s="123">
        <f>(I42-[1]POPULATE!D42)/I42</f>
        <v>-8.0766898473685952E-3</v>
      </c>
      <c r="K42" s="124"/>
    </row>
    <row r="43" spans="2:22" ht="15.5" x14ac:dyDescent="0.35">
      <c r="B43" s="117" t="s">
        <v>100</v>
      </c>
      <c r="C43" s="125">
        <f t="shared" si="2"/>
        <v>3.6751999999999998</v>
      </c>
      <c r="D43" s="119">
        <f>[1]POPULATE!D43</f>
        <v>3.7502</v>
      </c>
      <c r="E43" s="133"/>
      <c r="F43" s="127">
        <v>7.4999999999999997E-2</v>
      </c>
      <c r="G43" s="128">
        <f>[1]POPULATE!D43-F43</f>
        <v>3.6751999999999998</v>
      </c>
      <c r="H43" s="131">
        <f t="shared" si="1"/>
        <v>3.6751999999999998</v>
      </c>
      <c r="I43" s="131">
        <v>3.7504</v>
      </c>
      <c r="J43" s="123">
        <f>(I43-[1]POPULATE!D43)/I43</f>
        <v>5.3327645051188665E-5</v>
      </c>
      <c r="K43" s="124"/>
    </row>
  </sheetData>
  <mergeCells count="1">
    <mergeCell ref="F4:G4"/>
  </mergeCells>
  <conditionalFormatting sqref="C6">
    <cfRule type="cellIs" dxfId="72" priority="1" operator="greaterThan">
      <formula>1500</formula>
    </cfRule>
  </conditionalFormatting>
  <conditionalFormatting sqref="C7">
    <cfRule type="cellIs" dxfId="70" priority="72" operator="lessThan">
      <formula>0.8</formula>
    </cfRule>
    <cfRule type="cellIs" dxfId="71" priority="73" operator="greaterThan">
      <formula>0.88</formula>
    </cfRule>
  </conditionalFormatting>
  <conditionalFormatting sqref="C8">
    <cfRule type="cellIs" dxfId="68" priority="70" operator="lessThan">
      <formula>140</formula>
    </cfRule>
    <cfRule type="cellIs" dxfId="69" priority="71" operator="greaterThan">
      <formula>161</formula>
    </cfRule>
  </conditionalFormatting>
  <conditionalFormatting sqref="C9">
    <cfRule type="cellIs" dxfId="67" priority="69" operator="greaterThan">
      <formula>0.84</formula>
    </cfRule>
  </conditionalFormatting>
  <conditionalFormatting sqref="C9:C10">
    <cfRule type="cellIs" dxfId="66" priority="67" operator="lessThan">
      <formula>0.7</formula>
    </cfRule>
  </conditionalFormatting>
  <conditionalFormatting sqref="C10">
    <cfRule type="cellIs" dxfId="65" priority="68" operator="greaterThan">
      <formula>0.85</formula>
    </cfRule>
  </conditionalFormatting>
  <conditionalFormatting sqref="C11">
    <cfRule type="cellIs" dxfId="63" priority="65" operator="lessThan">
      <formula>15.5</formula>
    </cfRule>
    <cfRule type="cellIs" dxfId="64" priority="66" operator="greaterThan">
      <formula>20</formula>
    </cfRule>
  </conditionalFormatting>
  <conditionalFormatting sqref="C12">
    <cfRule type="cellIs" dxfId="62" priority="63" operator="lessThan">
      <formula>6.1</formula>
    </cfRule>
    <cfRule type="cellIs" dxfId="61" priority="64" operator="greaterThan">
      <formula>8</formula>
    </cfRule>
  </conditionalFormatting>
  <conditionalFormatting sqref="C13">
    <cfRule type="cellIs" dxfId="59" priority="61" operator="lessThan">
      <formula>1.33</formula>
    </cfRule>
    <cfRule type="cellIs" dxfId="60" priority="62" operator="greaterThan">
      <formula>1.445</formula>
    </cfRule>
  </conditionalFormatting>
  <conditionalFormatting sqref="C14">
    <cfRule type="cellIs" dxfId="57" priority="59" operator="lessThan">
      <formula>1.35</formula>
    </cfRule>
    <cfRule type="cellIs" dxfId="58" priority="60" operator="greaterThan">
      <formula>1.55</formula>
    </cfRule>
  </conditionalFormatting>
  <conditionalFormatting sqref="C15">
    <cfRule type="cellIs" dxfId="56" priority="58" operator="lessThan">
      <formula>6.8</formula>
    </cfRule>
  </conditionalFormatting>
  <conditionalFormatting sqref="C15:C16">
    <cfRule type="cellIs" dxfId="55" priority="57" operator="greaterThan">
      <formula>7.3</formula>
    </cfRule>
  </conditionalFormatting>
  <conditionalFormatting sqref="C16">
    <cfRule type="cellIs" dxfId="54" priority="56" operator="lessThan">
      <formula>6.7</formula>
    </cfRule>
  </conditionalFormatting>
  <conditionalFormatting sqref="C17">
    <cfRule type="cellIs" dxfId="53" priority="54" operator="lessThan">
      <formula>10</formula>
    </cfRule>
    <cfRule type="cellIs" dxfId="52" priority="55" operator="greaterThan">
      <formula>13.5</formula>
    </cfRule>
  </conditionalFormatting>
  <conditionalFormatting sqref="C18">
    <cfRule type="cellIs" dxfId="50" priority="52" operator="lessThan">
      <formula>28</formula>
    </cfRule>
    <cfRule type="cellIs" dxfId="51" priority="53" operator="greaterThan">
      <formula>45</formula>
    </cfRule>
  </conditionalFormatting>
  <conditionalFormatting sqref="C19">
    <cfRule type="cellIs" dxfId="48" priority="50" operator="lessThan">
      <formula>3.4</formula>
    </cfRule>
    <cfRule type="cellIs" dxfId="49" priority="51" operator="greaterThan">
      <formula>4</formula>
    </cfRule>
  </conditionalFormatting>
  <conditionalFormatting sqref="C20">
    <cfRule type="cellIs" dxfId="46" priority="48" operator="lessThan">
      <formula>8.5</formula>
    </cfRule>
    <cfRule type="cellIs" dxfId="47" priority="49" operator="greaterThan">
      <formula>11</formula>
    </cfRule>
  </conditionalFormatting>
  <conditionalFormatting sqref="C21">
    <cfRule type="cellIs" dxfId="44" priority="46" operator="lessThan">
      <formula>125</formula>
    </cfRule>
    <cfRule type="cellIs" dxfId="45" priority="47" operator="greaterThan">
      <formula>162</formula>
    </cfRule>
  </conditionalFormatting>
  <conditionalFormatting sqref="C22">
    <cfRule type="cellIs" dxfId="42" priority="44" operator="lessThan">
      <formula>545</formula>
    </cfRule>
    <cfRule type="cellIs" dxfId="43" priority="45" operator="greaterThan">
      <formula>600</formula>
    </cfRule>
  </conditionalFormatting>
  <conditionalFormatting sqref="C23">
    <cfRule type="cellIs" dxfId="40" priority="42" operator="lessThan">
      <formula>78</formula>
    </cfRule>
    <cfRule type="cellIs" dxfId="41" priority="43" operator="greaterThan">
      <formula>90</formula>
    </cfRule>
  </conditionalFormatting>
  <conditionalFormatting sqref="C24">
    <cfRule type="cellIs" dxfId="38" priority="40" operator="lessThan">
      <formula>95</formula>
    </cfRule>
    <cfRule type="cellIs" dxfId="39" priority="41" operator="greaterThan">
      <formula>110</formula>
    </cfRule>
  </conditionalFormatting>
  <conditionalFormatting sqref="C25">
    <cfRule type="cellIs" dxfId="36" priority="38" operator="lessThan">
      <formula>3.1</formula>
    </cfRule>
    <cfRule type="cellIs" dxfId="37" priority="39" operator="greaterThan">
      <formula>4</formula>
    </cfRule>
  </conditionalFormatting>
  <conditionalFormatting sqref="C26">
    <cfRule type="cellIs" dxfId="35" priority="36" operator="lessThan">
      <formula>1.1</formula>
    </cfRule>
    <cfRule type="cellIs" dxfId="34" priority="37" operator="greaterThan">
      <formula>1.5</formula>
    </cfRule>
  </conditionalFormatting>
  <conditionalFormatting sqref="C27">
    <cfRule type="cellIs" dxfId="33" priority="34" operator="lessThan">
      <formula>3400</formula>
    </cfRule>
    <cfRule type="cellIs" dxfId="32" priority="35" operator="greaterThan">
      <formula>39003</formula>
    </cfRule>
  </conditionalFormatting>
  <conditionalFormatting sqref="C28">
    <cfRule type="cellIs" dxfId="31" priority="32" operator="lessThan">
      <formula>280</formula>
    </cfRule>
    <cfRule type="cellIs" dxfId="30" priority="33" operator="greaterThan">
      <formula>324</formula>
    </cfRule>
  </conditionalFormatting>
  <conditionalFormatting sqref="C29">
    <cfRule type="cellIs" dxfId="28" priority="30" operator="lessThan">
      <formula>2.95</formula>
    </cfRule>
    <cfRule type="cellIs" dxfId="29" priority="31" operator="greaterThan">
      <formula>3.6</formula>
    </cfRule>
  </conditionalFormatting>
  <conditionalFormatting sqref="C30">
    <cfRule type="cellIs" dxfId="26" priority="28" operator="lessThan">
      <formula>2250</formula>
    </cfRule>
    <cfRule type="cellIs" dxfId="27" priority="29" operator="greaterThan">
      <formula>3450</formula>
    </cfRule>
  </conditionalFormatting>
  <conditionalFormatting sqref="C31">
    <cfRule type="cellIs" dxfId="24" priority="26" operator="lessThan">
      <formula>12.5</formula>
    </cfRule>
    <cfRule type="cellIs" dxfId="25" priority="27" operator="greaterThan">
      <formula>14.5</formula>
    </cfRule>
  </conditionalFormatting>
  <conditionalFormatting sqref="C32">
    <cfRule type="cellIs" dxfId="22" priority="24" operator="lessThan">
      <formula>6</formula>
    </cfRule>
    <cfRule type="cellIs" dxfId="23" priority="25" operator="greaterThan">
      <formula>7</formula>
    </cfRule>
  </conditionalFormatting>
  <conditionalFormatting sqref="C33">
    <cfRule type="cellIs" dxfId="20" priority="22" operator="lessThan">
      <formula>41</formula>
    </cfRule>
    <cfRule type="cellIs" dxfId="21" priority="23" operator="greaterThan">
      <formula>483</formula>
    </cfRule>
  </conditionalFormatting>
  <conditionalFormatting sqref="C34">
    <cfRule type="cellIs" dxfId="18" priority="20" operator="lessThan">
      <formula>535</formula>
    </cfRule>
    <cfRule type="cellIs" dxfId="19" priority="21" operator="greaterThan">
      <formula>590</formula>
    </cfRule>
  </conditionalFormatting>
  <conditionalFormatting sqref="C35">
    <cfRule type="cellIs" dxfId="16" priority="2" operator="lessThan">
      <formula>4</formula>
    </cfRule>
    <cfRule type="cellIs" dxfId="17" priority="3" operator="greaterThan">
      <formula>4.9</formula>
    </cfRule>
  </conditionalFormatting>
  <conditionalFormatting sqref="C36">
    <cfRule type="cellIs" dxfId="15" priority="18" operator="lessThan">
      <formula>18500</formula>
    </cfRule>
    <cfRule type="cellIs" dxfId="14" priority="19" operator="greaterThan">
      <formula>24000</formula>
    </cfRule>
  </conditionalFormatting>
  <conditionalFormatting sqref="C37">
    <cfRule type="cellIs" dxfId="12" priority="16" operator="lessThan">
      <formula>39</formula>
    </cfRule>
    <cfRule type="cellIs" dxfId="13" priority="17" operator="greaterThan">
      <formula>43</formula>
    </cfRule>
  </conditionalFormatting>
  <conditionalFormatting sqref="C38">
    <cfRule type="cellIs" dxfId="10" priority="14" operator="lessThan">
      <formula>2.2</formula>
    </cfRule>
    <cfRule type="cellIs" dxfId="11" priority="15" operator="greaterThan">
      <formula>2.95</formula>
    </cfRule>
  </conditionalFormatting>
  <conditionalFormatting sqref="C39">
    <cfRule type="cellIs" dxfId="8" priority="12" operator="lessThan">
      <formula>2800</formula>
    </cfRule>
    <cfRule type="cellIs" dxfId="9" priority="13" operator="greaterThan">
      <formula>3400</formula>
    </cfRule>
  </conditionalFormatting>
  <conditionalFormatting sqref="C40">
    <cfRule type="cellIs" dxfId="7" priority="10" operator="lessThan">
      <formula>49</formula>
    </cfRule>
    <cfRule type="cellIs" dxfId="6" priority="11" operator="greaterThan">
      <formula>58</formula>
    </cfRule>
  </conditionalFormatting>
  <conditionalFormatting sqref="C41">
    <cfRule type="cellIs" dxfId="4" priority="8" operator="lessThan">
      <formula>23000</formula>
    </cfRule>
    <cfRule type="cellIs" dxfId="5" priority="9" operator="greaterThan">
      <formula>27000</formula>
    </cfRule>
  </conditionalFormatting>
  <conditionalFormatting sqref="C42">
    <cfRule type="cellIs" dxfId="2" priority="6" operator="lessThan">
      <formula>7</formula>
    </cfRule>
    <cfRule type="cellIs" dxfId="3" priority="7" operator="greaterThan">
      <formula>8.2</formula>
    </cfRule>
  </conditionalFormatting>
  <conditionalFormatting sqref="C43">
    <cfRule type="cellIs" dxfId="0" priority="4" operator="lessThan">
      <formula>3</formula>
    </cfRule>
    <cfRule type="cellIs" dxfId="1" priority="5" operator="greater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</vt:lpstr>
    </vt:vector>
  </TitlesOfParts>
  <Company>StanbicIBTC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2026-02-03T08:06:19Z</dcterms:created>
  <dcterms:modified xsi:type="dcterms:W3CDTF">2026-02-03T08:07:22Z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2026-02-03T08:07:08Z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6308bb3d-e78e-4954-a9ee-c821387111a7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