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B75DC6E6-9308-40D8-A4A7-FED05DD766EA}" xr6:coauthVersionLast="47" xr6:coauthVersionMax="47" xr10:uidLastSave="{00000000-0000-0000-0000-000000000000}"/>
  <bookViews>
    <workbookView xWindow="-110" yWindow="-110" windowWidth="19420" windowHeight="11500" xr2:uid="{68EC0CEC-CAF5-458E-B5CB-F0463CE0CD21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H37" i="2"/>
  <c r="G37" i="2"/>
  <c r="D37" i="2"/>
  <c r="C37" i="2"/>
  <c r="J36" i="2"/>
  <c r="G36" i="2"/>
  <c r="H36" i="2" s="1"/>
  <c r="C36" i="2" s="1"/>
  <c r="D36" i="2"/>
  <c r="J35" i="2"/>
  <c r="H35" i="2"/>
  <c r="C35" i="2" s="1"/>
  <c r="G35" i="2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H25" i="2"/>
  <c r="G25" i="2"/>
  <c r="D25" i="2"/>
  <c r="C25" i="2"/>
  <c r="J24" i="2"/>
  <c r="G24" i="2"/>
  <c r="H24" i="2" s="1"/>
  <c r="C24" i="2" s="1"/>
  <c r="D24" i="2"/>
  <c r="J23" i="2"/>
  <c r="H23" i="2"/>
  <c r="C23" i="2" s="1"/>
  <c r="G23" i="2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H13" i="2"/>
  <c r="G13" i="2"/>
  <c r="D13" i="2"/>
  <c r="C13" i="2"/>
  <c r="J12" i="2"/>
  <c r="G12" i="2"/>
  <c r="H12" i="2" s="1"/>
  <c r="C12" i="2" s="1"/>
  <c r="D12" i="2"/>
  <c r="J11" i="2"/>
  <c r="H11" i="2"/>
  <c r="C11" i="2" s="1"/>
  <c r="G11" i="2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P41" i="1"/>
  <c r="T41" i="1" s="1"/>
  <c r="G41" i="1"/>
  <c r="K41" i="1" s="1"/>
  <c r="B41" i="1" s="1"/>
  <c r="L50" i="1" s="1"/>
  <c r="G39" i="1"/>
  <c r="H39" i="1" s="1"/>
  <c r="G37" i="1"/>
  <c r="P37" i="1" s="1"/>
  <c r="P35" i="1"/>
  <c r="T35" i="1" s="1"/>
  <c r="J35" i="1"/>
  <c r="G35" i="1"/>
  <c r="K35" i="1" s="1"/>
  <c r="B35" i="1" s="1"/>
  <c r="X34" i="1"/>
  <c r="G33" i="1"/>
  <c r="P33" i="1" s="1"/>
  <c r="X32" i="1"/>
  <c r="G31" i="1"/>
  <c r="H31" i="1" s="1"/>
  <c r="G29" i="1"/>
  <c r="K29" i="1" s="1"/>
  <c r="G27" i="1"/>
  <c r="H27" i="1" s="1"/>
  <c r="K27" i="1" s="1"/>
  <c r="B27" i="1" s="1"/>
  <c r="L52" i="1" s="1"/>
  <c r="X26" i="1"/>
  <c r="P25" i="1"/>
  <c r="T25" i="1" s="1"/>
  <c r="K25" i="1"/>
  <c r="J25" i="1"/>
  <c r="G25" i="1"/>
  <c r="H25" i="1" s="1"/>
  <c r="C23" i="1"/>
  <c r="B23" i="1"/>
  <c r="B25" i="1" s="1"/>
  <c r="B16" i="1"/>
  <c r="Q33" i="1" l="1"/>
  <c r="T33" i="1" s="1"/>
  <c r="S33" i="1"/>
  <c r="T37" i="1"/>
  <c r="S37" i="1"/>
  <c r="Q37" i="1"/>
  <c r="S35" i="1"/>
  <c r="S25" i="1"/>
  <c r="J29" i="1"/>
  <c r="B29" i="1" s="1"/>
  <c r="P29" i="1"/>
  <c r="J31" i="1"/>
  <c r="C31" i="1" s="1"/>
  <c r="J39" i="1"/>
  <c r="B39" i="1" s="1"/>
  <c r="K31" i="1"/>
  <c r="B31" i="1" s="1"/>
  <c r="H33" i="1"/>
  <c r="K33" i="1" s="1"/>
  <c r="B33" i="1" s="1"/>
  <c r="L51" i="1" s="1"/>
  <c r="C35" i="1"/>
  <c r="H37" i="1"/>
  <c r="K39" i="1"/>
  <c r="C39" i="1" s="1"/>
  <c r="Q41" i="1"/>
  <c r="X28" i="1"/>
  <c r="P31" i="1"/>
  <c r="J33" i="1"/>
  <c r="C33" i="1" s="1"/>
  <c r="J37" i="1"/>
  <c r="C37" i="1" s="1"/>
  <c r="P39" i="1"/>
  <c r="S41" i="1"/>
  <c r="C25" i="1"/>
  <c r="L48" i="1" s="1"/>
  <c r="H35" i="1"/>
  <c r="K37" i="1"/>
  <c r="B37" i="1" s="1"/>
  <c r="J27" i="1"/>
  <c r="P27" i="1"/>
  <c r="J41" i="1"/>
  <c r="X30" i="1"/>
  <c r="C27" i="1"/>
  <c r="C29" i="1"/>
  <c r="L49" i="1" s="1"/>
  <c r="Q35" i="1"/>
  <c r="C41" i="1"/>
  <c r="Q25" i="1"/>
  <c r="H29" i="1"/>
  <c r="H41" i="1"/>
  <c r="Y24" i="1"/>
  <c r="T31" i="1" l="1"/>
  <c r="S31" i="1"/>
  <c r="Q31" i="1"/>
  <c r="Y34" i="1"/>
  <c r="Y32" i="1"/>
  <c r="Y30" i="1"/>
  <c r="Y28" i="1"/>
  <c r="Y26" i="1"/>
  <c r="AA24" i="1"/>
  <c r="T39" i="1"/>
  <c r="S39" i="1"/>
  <c r="Q39" i="1"/>
  <c r="T29" i="1"/>
  <c r="S29" i="1"/>
  <c r="Q29" i="1"/>
  <c r="Q27" i="1"/>
  <c r="T27" i="1" s="1"/>
  <c r="S27" i="1"/>
  <c r="AA30" i="1" l="1"/>
  <c r="AA28" i="1"/>
  <c r="AA34" i="1"/>
  <c r="AA32" i="1"/>
  <c r="AA26" i="1"/>
  <c r="AB24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<sst xmlns="http://schemas.openxmlformats.org/spreadsheetml/2006/main" count="151" uniqueCount="101">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</sst>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Olk\Attachments\ooa-c2e37fa3-6d10-4bf8-8a66-c2b7c4c1bb52\2b82d80f4085d15d550ebde8ba25770e14a8fee96762a284dd6aedd0d4cd3f72\CURRENT%20RATE%20GUIDE%20-%20March%205th%202026.xlsx" TargetMode="External"/><Relationship Id="rId1" Type="http://schemas.openxmlformats.org/officeDocument/2006/relationships/externalLinkPath" Target="file:///C:\Users\A242288\AppData\Local\Microsoft\Olk\Attachments\ooa-c2e37fa3-6d10-4bf8-8a66-c2b7c4c1bb52\2b82d80f4085d15d550ebde8ba25770e14a8fee96762a284dd6aedd0d4cd3f72\CURRENT%20RATE%20GUIDE%20-%20March%205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1400</v>
          </cell>
        </row>
        <row r="7">
          <cell r="D7">
            <v>1.1612</v>
          </cell>
          <cell r="G7">
            <v>1360</v>
          </cell>
          <cell r="H7">
            <v>1400</v>
          </cell>
        </row>
        <row r="8">
          <cell r="D8">
            <v>157.06</v>
          </cell>
        </row>
        <row r="9">
          <cell r="D9">
            <v>1.3348</v>
          </cell>
          <cell r="G9">
            <v>1.1611</v>
          </cell>
        </row>
        <row r="10">
          <cell r="D10">
            <v>0.78059999999999996</v>
          </cell>
          <cell r="G10">
            <v>157.04</v>
          </cell>
        </row>
        <row r="11">
          <cell r="D11">
            <v>16.4526</v>
          </cell>
          <cell r="G11">
            <v>1.3347</v>
          </cell>
        </row>
        <row r="12">
          <cell r="D12">
            <v>6.4347000000000003</v>
          </cell>
          <cell r="G12">
            <v>0.78049999999999997</v>
          </cell>
        </row>
        <row r="13">
          <cell r="D13">
            <v>1.3645</v>
          </cell>
          <cell r="G13">
            <v>16.444800000000001</v>
          </cell>
        </row>
        <row r="14">
          <cell r="D14">
            <v>0.70440000000000003</v>
          </cell>
          <cell r="G14">
            <v>6.4343000000000004</v>
          </cell>
        </row>
        <row r="15">
          <cell r="D15">
            <v>6.8971999999999998</v>
          </cell>
          <cell r="G15">
            <v>1.3644000000000001</v>
          </cell>
        </row>
        <row r="16">
          <cell r="D16">
            <v>6.8963000000000001</v>
          </cell>
          <cell r="G16">
            <v>0.70430000000000004</v>
          </cell>
        </row>
        <row r="17">
          <cell r="D17">
            <v>10.79</v>
          </cell>
          <cell r="G17">
            <v>6.8968999999999996</v>
          </cell>
        </row>
        <row r="18">
          <cell r="D18">
            <v>43.995899999999999</v>
          </cell>
        </row>
        <row r="19">
          <cell r="D19">
            <v>3.6869999999999998</v>
          </cell>
          <cell r="G19">
            <v>1391.86</v>
          </cell>
        </row>
        <row r="20">
          <cell r="D20">
            <v>9.2136999999999993</v>
          </cell>
        </row>
        <row r="21">
          <cell r="D21">
            <v>129.19999999999999</v>
          </cell>
        </row>
        <row r="22">
          <cell r="D22">
            <v>564.93330000000003</v>
          </cell>
        </row>
        <row r="23">
          <cell r="D23">
            <v>91.627499999999998</v>
          </cell>
        </row>
        <row r="24">
          <cell r="D24">
            <v>103.0688</v>
          </cell>
        </row>
        <row r="25">
          <cell r="D25">
            <v>3.673</v>
          </cell>
        </row>
        <row r="26">
          <cell r="D26">
            <v>1.2767999999999999</v>
          </cell>
        </row>
        <row r="27">
          <cell r="D27">
            <v>3665</v>
          </cell>
        </row>
        <row r="28">
          <cell r="D28">
            <v>310.47000000000003</v>
          </cell>
        </row>
        <row r="29">
          <cell r="D29">
            <v>3.0785</v>
          </cell>
        </row>
        <row r="30">
          <cell r="D30">
            <v>2596.69</v>
          </cell>
        </row>
        <row r="31">
          <cell r="D31">
            <v>14.1243</v>
          </cell>
        </row>
        <row r="32">
          <cell r="D32">
            <v>6.726</v>
          </cell>
        </row>
        <row r="33">
          <cell r="D33">
            <v>47.53</v>
          </cell>
        </row>
        <row r="34">
          <cell r="D34">
            <v>564.92989999999998</v>
          </cell>
        </row>
        <row r="35">
          <cell r="D35">
            <v>4.3891</v>
          </cell>
        </row>
        <row r="36">
          <cell r="D36">
            <v>24242.289100000002</v>
          </cell>
        </row>
        <row r="37">
          <cell r="D37">
            <v>44.027500000000003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58.604999999999997</v>
          </cell>
        </row>
        <row r="41">
          <cell r="D41">
            <v>26223</v>
          </cell>
        </row>
        <row r="42">
          <cell r="D42">
            <v>7.8201999999999998</v>
          </cell>
        </row>
        <row r="43">
          <cell r="D43">
            <v>3.7545000000000002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67D61-0A6F-4082-8FB1-C3B7B72AE963}">
  <dimension ref="A1:AI93"/>
  <sheetViews>
    <sheetView tabSelected="1" workbookViewId="0">
      <selection activeCell="B11" sqref="B11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46086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1360</v>
      </c>
      <c r="C23" s="8">
        <f>[1]POPULATE!H7</f>
        <v>1400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1400</v>
      </c>
      <c r="Z24" s="19"/>
      <c r="AA24" s="50">
        <f>Y24</f>
        <v>1400</v>
      </c>
      <c r="AB24" s="49">
        <f>AA24</f>
        <v>1400</v>
      </c>
      <c r="AD24" s="4" t="s">
        <v>23</v>
      </c>
    </row>
    <row r="25" spans="1:35" ht="14" x14ac:dyDescent="0.3">
      <c r="A25" s="2" t="s">
        <v>24</v>
      </c>
      <c r="B25" s="8">
        <f>B23*(J25-0.0075)</f>
        <v>1541.6959999999999</v>
      </c>
      <c r="C25" s="8">
        <f>+C23*(K25-0.0055)</f>
        <v>1645.84</v>
      </c>
      <c r="D25" s="8"/>
      <c r="E25" s="8"/>
      <c r="F25" s="51" t="s">
        <v>25</v>
      </c>
      <c r="G25" s="52">
        <f>[1]POPULATE!G9</f>
        <v>1.1611</v>
      </c>
      <c r="H25" s="53">
        <f>+G25+0.03</f>
        <v>1.1911</v>
      </c>
      <c r="I25" s="53"/>
      <c r="J25" s="45">
        <f>+(G25-($J$17/10000))+0</f>
        <v>1.1411</v>
      </c>
      <c r="K25" s="45">
        <f>+(G25+($K$17/10000))+0</f>
        <v>1.1811</v>
      </c>
      <c r="L25" s="8" t="s">
        <v>26</v>
      </c>
      <c r="M25" s="54"/>
      <c r="N25" s="48"/>
      <c r="O25" s="51" t="s">
        <v>25</v>
      </c>
      <c r="P25" s="52">
        <f>G25</f>
        <v>1.1611</v>
      </c>
      <c r="Q25" s="53">
        <f>+P25+0.03</f>
        <v>1.1911</v>
      </c>
      <c r="R25" s="53"/>
      <c r="S25" s="45">
        <f>+(P25-($S$17/10000))+0</f>
        <v>1.1311</v>
      </c>
      <c r="T25" s="45">
        <f>+(P25+($T$17/10000))+0</f>
        <v>1.1911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1.1671</v>
      </c>
      <c r="Y26" s="49">
        <f>$Y$24*X26</f>
        <v>1633.94</v>
      </c>
      <c r="Z26" s="19"/>
      <c r="AA26" s="56">
        <f>$AA$24*X26</f>
        <v>1633.94</v>
      </c>
      <c r="AB26" s="56">
        <f>$AB$24*X26</f>
        <v>1633.94</v>
      </c>
      <c r="AD26" s="4" t="s">
        <v>23</v>
      </c>
    </row>
    <row r="27" spans="1:35" ht="14" x14ac:dyDescent="0.3">
      <c r="A27" s="2" t="s">
        <v>28</v>
      </c>
      <c r="B27" s="8">
        <f>+B23/K27</f>
        <v>8.4978755311172218</v>
      </c>
      <c r="C27" s="8">
        <f>+C23/J27</f>
        <v>9.029927760577916</v>
      </c>
      <c r="D27" s="23"/>
      <c r="E27" s="59"/>
      <c r="F27" s="51" t="s">
        <v>29</v>
      </c>
      <c r="G27" s="52">
        <f>[1]POPULATE!G10</f>
        <v>157.04</v>
      </c>
      <c r="H27" s="53">
        <f>+G27+1</f>
        <v>158.04</v>
      </c>
      <c r="I27" s="17"/>
      <c r="J27" s="8">
        <f>+(G27-($J$17/100))+0</f>
        <v>155.04</v>
      </c>
      <c r="K27" s="8">
        <f>+(H27+($K$17/100))-0</f>
        <v>160.04</v>
      </c>
      <c r="L27" s="16" t="s">
        <v>30</v>
      </c>
      <c r="M27" s="16"/>
      <c r="O27" s="51" t="s">
        <v>29</v>
      </c>
      <c r="P27" s="52">
        <f t="shared" ref="P27:P43" si="0">G27</f>
        <v>157.04</v>
      </c>
      <c r="Q27" s="53">
        <f>+P27+1</f>
        <v>158.04</v>
      </c>
      <c r="R27" s="17"/>
      <c r="S27" s="8">
        <f>+(P27-($S$17/100))+0</f>
        <v>154.04</v>
      </c>
      <c r="T27" s="8">
        <f>+(Q27+($T$17/100))-0</f>
        <v>161.04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1.3407</v>
      </c>
      <c r="Y28" s="49">
        <f>$Y$24*X28</f>
        <v>1876.98</v>
      </c>
      <c r="Z28" s="19"/>
      <c r="AA28" s="56">
        <f>$AA$24*X28</f>
        <v>1876.98</v>
      </c>
      <c r="AB28" s="56">
        <f>$AB$24*X28</f>
        <v>1876.98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1777.7919999999999</v>
      </c>
      <c r="C29" s="16">
        <f>+C23*(K29-0.0055)</f>
        <v>1888.8799999999999</v>
      </c>
      <c r="D29" s="16"/>
      <c r="E29" s="8"/>
      <c r="F29" s="41" t="s">
        <v>32</v>
      </c>
      <c r="G29" s="52">
        <f>[1]POPULATE!G11</f>
        <v>1.3347</v>
      </c>
      <c r="H29" s="53">
        <f>+G29+0.03</f>
        <v>1.3647</v>
      </c>
      <c r="I29" s="53"/>
      <c r="J29" s="45">
        <f>+(G29-($J$17/10000))+0</f>
        <v>1.3147</v>
      </c>
      <c r="K29" s="45">
        <f>+(G29+($K$17/10000))-0</f>
        <v>1.3547</v>
      </c>
      <c r="L29" s="16" t="s">
        <v>33</v>
      </c>
      <c r="M29" s="16"/>
      <c r="N29" s="48"/>
      <c r="O29" s="41" t="s">
        <v>32</v>
      </c>
      <c r="P29" s="52">
        <f t="shared" si="0"/>
        <v>1.3347</v>
      </c>
      <c r="Q29" s="53">
        <f>+P29+0.03</f>
        <v>1.3647</v>
      </c>
      <c r="R29" s="53"/>
      <c r="S29" s="45">
        <f>+(P29-($S$17/10000))+0</f>
        <v>1.3047</v>
      </c>
      <c r="T29" s="45">
        <f>+(P29+($T$17/10000))-0</f>
        <v>1.3647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0.77449999999999997</v>
      </c>
      <c r="Y30" s="49">
        <f>$Y$24/X30</f>
        <v>1807.6178179470628</v>
      </c>
      <c r="Z30" s="19"/>
      <c r="AA30" s="56">
        <f>$AA$24/X30</f>
        <v>1807.6178179470628</v>
      </c>
      <c r="AB30" s="56">
        <f>$AB$24/X30</f>
        <v>1807.6178179470628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1698.9381636477201</v>
      </c>
      <c r="C31" s="16">
        <f>+C23/J31</f>
        <v>1840.8941485864564</v>
      </c>
      <c r="D31" s="16"/>
      <c r="E31" s="8"/>
      <c r="F31" s="41" t="s">
        <v>35</v>
      </c>
      <c r="G31" s="52">
        <f>[1]POPULATE!G12</f>
        <v>0.78049999999999997</v>
      </c>
      <c r="H31" s="53">
        <f>+G31+0.04</f>
        <v>0.82050000000000001</v>
      </c>
      <c r="I31" s="53"/>
      <c r="J31" s="45">
        <f>+(G31-($J$17/10000))+0</f>
        <v>0.76049999999999995</v>
      </c>
      <c r="K31" s="45">
        <f>+(G31+($K$17/10000))-0</f>
        <v>0.80049999999999999</v>
      </c>
      <c r="L31" s="16" t="s">
        <v>36</v>
      </c>
      <c r="M31" s="16"/>
      <c r="N31" s="48"/>
      <c r="O31" s="41" t="s">
        <v>35</v>
      </c>
      <c r="P31" s="52">
        <f t="shared" si="0"/>
        <v>0.78049999999999997</v>
      </c>
      <c r="Q31" s="53">
        <f>+P31+0.04</f>
        <v>0.82050000000000001</v>
      </c>
      <c r="R31" s="53"/>
      <c r="S31" s="45">
        <f>+(P31-($S$17/10000))+0</f>
        <v>0.75049999999999994</v>
      </c>
      <c r="T31" s="45">
        <f>+(P31+($T$17/10000))-0</f>
        <v>0.8105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16.3748</v>
      </c>
      <c r="Y32" s="49">
        <f>$Y$24/X32</f>
        <v>85.497227447052779</v>
      </c>
      <c r="Z32" s="19"/>
      <c r="AA32" s="56">
        <f>$AA$24/X32</f>
        <v>85.497227447052779</v>
      </c>
      <c r="AB32" s="56">
        <f>$AB$24/X32</f>
        <v>85.497227447052779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82.151400198129849</v>
      </c>
      <c r="C33" s="16">
        <f>+C23/J33</f>
        <v>85.680363284740324</v>
      </c>
      <c r="D33" s="16"/>
      <c r="E33" s="8"/>
      <c r="F33" s="66" t="s">
        <v>38</v>
      </c>
      <c r="G33" s="52">
        <f>[1]POPULATE!G13</f>
        <v>16.444800000000001</v>
      </c>
      <c r="H33" s="53">
        <f>+G33+0.04</f>
        <v>16.4848</v>
      </c>
      <c r="I33" s="67"/>
      <c r="J33" s="45">
        <f>+(G33-($J$17/10000))-0.085</f>
        <v>16.3398</v>
      </c>
      <c r="K33" s="45">
        <f>+(H33+($K$17/10000))+0.05</f>
        <v>16.5548</v>
      </c>
      <c r="L33" s="41" t="s">
        <v>39</v>
      </c>
      <c r="M33" s="41"/>
      <c r="N33" s="48"/>
      <c r="O33" s="66" t="s">
        <v>38</v>
      </c>
      <c r="P33" s="52">
        <f t="shared" si="0"/>
        <v>16.444800000000001</v>
      </c>
      <c r="Q33" s="53">
        <f>+P33+0.04</f>
        <v>16.4848</v>
      </c>
      <c r="R33" s="67"/>
      <c r="S33" s="45">
        <f>+(P33-($S$17/10000))-0.085</f>
        <v>16.329799999999999</v>
      </c>
      <c r="T33" s="45">
        <f>+(Q33+($T$17/10000))+0.05</f>
        <v>16.564800000000002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1.3584000000000001</v>
      </c>
      <c r="Y34" s="49">
        <f>$Y$24/X34</f>
        <v>1030.6242638398114</v>
      </c>
      <c r="Z34" s="19"/>
      <c r="AA34" s="56">
        <f>$AA$24/X34</f>
        <v>1030.6242638398114</v>
      </c>
      <c r="AB34" s="56">
        <f>$AB$24/X34</f>
        <v>1030.6242638398114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210.7122383527261</v>
      </c>
      <c r="C35" s="16">
        <f>+C23/J35</f>
        <v>218.26232012846293</v>
      </c>
      <c r="D35" s="16"/>
      <c r="E35" s="8"/>
      <c r="F35" s="66" t="s">
        <v>42</v>
      </c>
      <c r="G35" s="52">
        <f>[1]POPULATE!G14</f>
        <v>6.4343000000000004</v>
      </c>
      <c r="H35" s="53">
        <f>+G35+0.04</f>
        <v>6.4743000000000004</v>
      </c>
      <c r="I35" s="67"/>
      <c r="J35" s="45">
        <f>+(G35-($J$17/10000))-0</f>
        <v>6.4143000000000008</v>
      </c>
      <c r="K35" s="45">
        <f>+(G35+($K$17/10000))-0</f>
        <v>6.4542999999999999</v>
      </c>
      <c r="L35" s="16" t="s">
        <v>43</v>
      </c>
      <c r="M35" s="16"/>
      <c r="N35" s="48"/>
      <c r="O35" s="66" t="s">
        <v>42</v>
      </c>
      <c r="P35" s="52">
        <f t="shared" si="0"/>
        <v>6.4343000000000004</v>
      </c>
      <c r="Q35" s="53">
        <f>+P35+0.04</f>
        <v>6.4743000000000004</v>
      </c>
      <c r="R35" s="67"/>
      <c r="S35" s="45">
        <f>+(P35-($S$17/10000))-0</f>
        <v>6.4043000000000001</v>
      </c>
      <c r="T35" s="45">
        <f>+(P35+($T$17/10000))-0</f>
        <v>6.4643000000000006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982.37503611672923</v>
      </c>
      <c r="C37" s="16">
        <f>+C23/J37</f>
        <v>1041.3567390657543</v>
      </c>
      <c r="D37" s="16"/>
      <c r="E37" s="8"/>
      <c r="F37" s="66" t="s">
        <v>44</v>
      </c>
      <c r="G37" s="52">
        <f>[1]POPULATE!G15</f>
        <v>1.3644000000000001</v>
      </c>
      <c r="H37" s="53">
        <f>+G37+0.04</f>
        <v>1.4044000000000001</v>
      </c>
      <c r="I37" s="69"/>
      <c r="J37" s="45">
        <f>+(G37-($J$17/10000))-0</f>
        <v>1.3444</v>
      </c>
      <c r="K37" s="45">
        <f>+(G37+($K$17/10000))-0</f>
        <v>1.3844000000000001</v>
      </c>
      <c r="L37" s="16" t="s">
        <v>45</v>
      </c>
      <c r="M37" s="16"/>
      <c r="N37" s="48"/>
      <c r="O37" s="66" t="s">
        <v>44</v>
      </c>
      <c r="P37" s="52">
        <f t="shared" si="0"/>
        <v>1.3644000000000001</v>
      </c>
      <c r="Q37" s="53">
        <f>+P37+0.04</f>
        <v>1.4044000000000001</v>
      </c>
      <c r="R37" s="69"/>
      <c r="S37" s="45">
        <f>+(P37-($S$17/10000))-0</f>
        <v>1.3344</v>
      </c>
      <c r="T37" s="45">
        <f>+(P37+($T$17/10000))-0</f>
        <v>1.3944000000000001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930.64800000000002</v>
      </c>
      <c r="C39" s="8">
        <f>+C23*K39</f>
        <v>1014.0200000000001</v>
      </c>
      <c r="D39" s="8"/>
      <c r="E39" s="8"/>
      <c r="F39" s="66" t="s">
        <v>47</v>
      </c>
      <c r="G39" s="52">
        <f>[1]POPULATE!G16</f>
        <v>0.70430000000000004</v>
      </c>
      <c r="H39" s="53">
        <f>+G39+0.04</f>
        <v>0.74430000000000007</v>
      </c>
      <c r="I39" s="67"/>
      <c r="J39" s="45">
        <f>+(G39-($J$17/10000))+0</f>
        <v>0.68430000000000002</v>
      </c>
      <c r="K39" s="45">
        <f>+(G39+($K$17/10000))-0</f>
        <v>0.72430000000000005</v>
      </c>
      <c r="L39" s="8" t="s">
        <v>48</v>
      </c>
      <c r="M39" s="8"/>
      <c r="N39" s="48"/>
      <c r="O39" s="66" t="s">
        <v>47</v>
      </c>
      <c r="P39" s="52">
        <f t="shared" si="0"/>
        <v>0.70430000000000004</v>
      </c>
      <c r="Q39" s="53">
        <f>+P39+0.04</f>
        <v>0.74430000000000007</v>
      </c>
      <c r="R39" s="67"/>
      <c r="S39" s="45">
        <f>+(P39-($S$17/10000))+0</f>
        <v>0.67430000000000001</v>
      </c>
      <c r="T39" s="45">
        <f>+(P39+($T$17/10000))-0</f>
        <v>0.73430000000000006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196.61987306452315</v>
      </c>
      <c r="C41" s="8">
        <f>+C23/J41</f>
        <v>203.58010149922202</v>
      </c>
      <c r="D41" s="8"/>
      <c r="E41" s="8"/>
      <c r="F41" s="66" t="s">
        <v>50</v>
      </c>
      <c r="G41" s="52">
        <f>[1]POPULATE!G17</f>
        <v>6.8968999999999996</v>
      </c>
      <c r="H41" s="53">
        <f>+G41+0.04</f>
        <v>6.9368999999999996</v>
      </c>
      <c r="I41" s="67"/>
      <c r="J41" s="23">
        <f>+(G41-($J$17/10000))+0</f>
        <v>6.8769</v>
      </c>
      <c r="K41" s="23">
        <f>+(G41+($K$17/10000))-0</f>
        <v>6.9168999999999992</v>
      </c>
      <c r="L41" s="8" t="s">
        <v>51</v>
      </c>
      <c r="M41" s="8"/>
      <c r="N41" s="48"/>
      <c r="O41" s="66" t="s">
        <v>50</v>
      </c>
      <c r="P41" s="52">
        <f t="shared" si="0"/>
        <v>6.8968999999999996</v>
      </c>
      <c r="Q41" s="53">
        <f>+P41+0.04</f>
        <v>6.9368999999999996</v>
      </c>
      <c r="R41" s="67"/>
      <c r="S41" s="23">
        <f>+(P41-($S$17/10000))+0</f>
        <v>6.8668999999999993</v>
      </c>
      <c r="T41" s="23">
        <f>+(P41+($T$17/10000))-0</f>
        <v>6.9268999999999998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1391.86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C23">
    <cfRule type="cellIs" dxfId="107" priority="1" operator="notBetween">
      <formula>$K$56*0.98</formula>
      <formula>$K$56*1.02</formula>
    </cfRule>
  </conditionalFormatting>
  <conditionalFormatting sqref="C1:D1"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5" priority="21" operator="lessThan">
      <formula>0.6</formula>
    </cfRule>
    <cfRule type="cellIs" dxfId="106" priority="22" operator="greaterThan">
      <formula>0.7</formula>
    </cfRule>
  </conditionalFormatting>
  <conditionalFormatting sqref="G41">
    <cfRule type="cellIs" dxfId="104" priority="19" operator="lessThan">
      <formula>6.5</formula>
    </cfRule>
    <cfRule type="cellIs" dxfId="103" priority="20" operator="greaterThan">
      <formula>7.5</formula>
    </cfRule>
  </conditionalFormatting>
  <conditionalFormatting sqref="J25">
    <cfRule type="cellIs" dxfId="102" priority="35" operator="lessThan">
      <formula>1</formula>
    </cfRule>
    <cfRule type="cellIs" dxfId="101" priority="36" operator="greaterThan">
      <formula>1.2</formula>
    </cfRule>
  </conditionalFormatting>
  <conditionalFormatting sqref="J27">
    <cfRule type="cellIs" dxfId="100" priority="34" operator="lessThan">
      <formula>140</formula>
    </cfRule>
  </conditionalFormatting>
  <conditionalFormatting sqref="J29">
    <cfRule type="cellIs" dxfId="99" priority="32" operator="lessThan">
      <formula>1.05</formula>
    </cfRule>
    <cfRule type="cellIs" dxfId="98" priority="33" operator="greaterThan">
      <formula>1.4</formula>
    </cfRule>
  </conditionalFormatting>
  <conditionalFormatting sqref="J31">
    <cfRule type="cellIs" dxfId="97" priority="30" operator="lessThan">
      <formula>0.7</formula>
    </cfRule>
    <cfRule type="cellIs" dxfId="96" priority="31" operator="greaterThan">
      <formula>1</formula>
    </cfRule>
  </conditionalFormatting>
  <conditionalFormatting sqref="J33">
    <cfRule type="cellIs" dxfId="95" priority="28" operator="lessThan">
      <formula>15</formula>
    </cfRule>
    <cfRule type="cellIs" dxfId="94" priority="29" operator="greaterThan">
      <formula>19</formula>
    </cfRule>
  </conditionalFormatting>
  <conditionalFormatting sqref="J35">
    <cfRule type="cellIs" dxfId="93" priority="26" operator="lessThan">
      <formula>6</formula>
    </cfRule>
    <cfRule type="cellIs" dxfId="92" priority="27" operator="greaterThan">
      <formula>7.5</formula>
    </cfRule>
  </conditionalFormatting>
  <conditionalFormatting sqref="J37">
    <cfRule type="cellIs" dxfId="91" priority="24" operator="lessThan">
      <formula>1.1</formula>
    </cfRule>
    <cfRule type="cellIs" dxfId="90" priority="25" operator="greaterThan">
      <formula>1.5</formula>
    </cfRule>
  </conditionalFormatting>
  <conditionalFormatting sqref="J39">
    <cfRule type="cellIs" dxfId="89" priority="23" operator="greaterThan">
      <formula>0.69</formula>
    </cfRule>
  </conditionalFormatting>
  <conditionalFormatting sqref="P44">
    <cfRule type="cellIs" dxfId="87" priority="2" operator="lessThan">
      <formula>0.82</formula>
    </cfRule>
    <cfRule type="cellIs" dxfId="88" priority="3" operator="greaterThan">
      <formula>0.88</formula>
    </cfRule>
  </conditionalFormatting>
  <conditionalFormatting sqref="S25">
    <cfRule type="cellIs" dxfId="86" priority="17" operator="lessThan">
      <formula>0.9</formula>
    </cfRule>
    <cfRule type="cellIs" dxfId="85" priority="18" operator="greaterThan">
      <formula>1.2</formula>
    </cfRule>
  </conditionalFormatting>
  <conditionalFormatting sqref="S27">
    <cfRule type="cellIs" dxfId="84" priority="15" operator="lessThan">
      <formula>139</formula>
    </cfRule>
    <cfRule type="cellIs" dxfId="83" priority="16" operator="greaterThan">
      <formula>160</formula>
    </cfRule>
  </conditionalFormatting>
  <conditionalFormatting sqref="S29">
    <cfRule type="cellIs" dxfId="82" priority="13" operator="lessThan">
      <formula>1.05</formula>
    </cfRule>
    <cfRule type="cellIs" dxfId="81" priority="14" operator="greaterThan">
      <formula>1.4</formula>
    </cfRule>
  </conditionalFormatting>
  <conditionalFormatting sqref="S31">
    <cfRule type="cellIs" dxfId="80" priority="11" operator="lessThan">
      <formula>0.71</formula>
    </cfRule>
    <cfRule type="cellIs" dxfId="79" priority="12" operator="greaterThan">
      <formula>0.9</formula>
    </cfRule>
  </conditionalFormatting>
  <conditionalFormatting sqref="S33">
    <cfRule type="cellIs" dxfId="78" priority="9" operator="lessThan">
      <formula>15</formula>
    </cfRule>
    <cfRule type="cellIs" dxfId="77" priority="10" operator="greaterThan">
      <formula>19</formula>
    </cfRule>
  </conditionalFormatting>
  <conditionalFormatting sqref="S35">
    <cfRule type="cellIs" dxfId="76" priority="7" operator="lessThan">
      <formula>6</formula>
    </cfRule>
    <cfRule type="cellIs" dxfId="75" priority="8" operator="greaterThan">
      <formula>7.5</formula>
    </cfRule>
  </conditionalFormatting>
  <conditionalFormatting sqref="S37">
    <cfRule type="cellIs" dxfId="74" priority="5" operator="lessThan">
      <formula>1.1</formula>
    </cfRule>
    <cfRule type="cellIs" dxfId="73" priority="6" operator="greaterThan">
      <formula>1.5</formula>
    </cfRule>
  </conditionalFormatting>
  <conditionalFormatting sqref="S39">
    <cfRule type="cellIs" dxfId="72" priority="4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2192-501F-4A5B-BF9D-7FFA84255714}">
  <dimension ref="B3:AB43"/>
  <sheetViews>
    <sheetView workbookViewId="0">
      <selection sqref="A1:XFD1048576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1400</v>
      </c>
      <c r="D6" s="119">
        <f>[1]POPULATE!D6</f>
        <v>1400</v>
      </c>
      <c r="E6" s="120"/>
      <c r="F6" s="121"/>
      <c r="G6" s="121"/>
      <c r="H6" s="122">
        <f>D6</f>
        <v>1400</v>
      </c>
      <c r="I6" s="122">
        <v>510</v>
      </c>
      <c r="J6" s="123">
        <f>(I6-[1]POPULATE!D6)/I6</f>
        <v>-1.7450980392156863</v>
      </c>
      <c r="K6" s="124"/>
    </row>
    <row r="7" spans="2:13" ht="15.5" x14ac:dyDescent="0.35">
      <c r="B7" s="117" t="s">
        <v>64</v>
      </c>
      <c r="C7" s="125">
        <f>H7</f>
        <v>0.84160915670762504</v>
      </c>
      <c r="D7" s="119">
        <f>[1]POPULATE!D7</f>
        <v>1.1612</v>
      </c>
      <c r="E7" s="126"/>
      <c r="F7" s="127">
        <v>2.7E-2</v>
      </c>
      <c r="G7" s="128">
        <f>+[1]POPULATE!D7+F7</f>
        <v>1.1881999999999999</v>
      </c>
      <c r="H7" s="129">
        <f>1/G7</f>
        <v>0.84160915670762504</v>
      </c>
      <c r="I7" s="129">
        <v>1.1924999999999999</v>
      </c>
      <c r="J7" s="123">
        <f>(I7-[1]POPULATE!D7)/I7</f>
        <v>2.6247379454926528E-2</v>
      </c>
      <c r="K7" s="124"/>
      <c r="M7" s="130"/>
    </row>
    <row r="8" spans="2:13" ht="15.5" x14ac:dyDescent="0.35">
      <c r="B8" s="117" t="s">
        <v>65</v>
      </c>
      <c r="C8" s="118">
        <f>H8</f>
        <v>155.06</v>
      </c>
      <c r="D8" s="119">
        <f>[1]POPULATE!D8</f>
        <v>157.06</v>
      </c>
      <c r="E8" s="126"/>
      <c r="F8" s="127">
        <v>2</v>
      </c>
      <c r="G8" s="128">
        <f>+[1]POPULATE!D8-F8</f>
        <v>155.06</v>
      </c>
      <c r="H8" s="131">
        <f>G8</f>
        <v>155.06</v>
      </c>
      <c r="I8" s="131">
        <v>104.06</v>
      </c>
      <c r="J8" s="123">
        <f>(I8-[1]POPULATE!D8)/I8</f>
        <v>-0.50932154526234863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0.73702830188679247</v>
      </c>
      <c r="D9" s="119">
        <f>[1]POPULATE!D9</f>
        <v>1.3348</v>
      </c>
      <c r="E9" s="126"/>
      <c r="F9" s="127">
        <v>2.1999999999999999E-2</v>
      </c>
      <c r="G9" s="128">
        <f>[1]POPULATE!D9+F9</f>
        <v>1.3568</v>
      </c>
      <c r="H9" s="131">
        <f>1/G9</f>
        <v>0.73702830188679247</v>
      </c>
      <c r="I9" s="131">
        <v>1.3365</v>
      </c>
      <c r="J9" s="123">
        <f>(I9-[1]POPULATE!D9)/I9</f>
        <v>1.2719790497568535E-3</v>
      </c>
      <c r="K9" s="124"/>
    </row>
    <row r="10" spans="2:13" ht="15.5" x14ac:dyDescent="0.35">
      <c r="B10" s="117" t="s">
        <v>67</v>
      </c>
      <c r="C10" s="125">
        <f t="shared" si="0"/>
        <v>0.75559999999999994</v>
      </c>
      <c r="D10" s="119">
        <f>[1]POPULATE!D10</f>
        <v>0.78059999999999996</v>
      </c>
      <c r="E10" s="126"/>
      <c r="F10" s="127">
        <v>2.5000000000000001E-2</v>
      </c>
      <c r="G10" s="128">
        <f>[1]POPULATE!D10-F10</f>
        <v>0.75559999999999994</v>
      </c>
      <c r="H10" s="131">
        <f t="shared" ref="H10:H43" si="1">G10</f>
        <v>0.75559999999999994</v>
      </c>
      <c r="I10" s="131">
        <v>0.90620000000000001</v>
      </c>
      <c r="J10" s="123">
        <f>(I10-[1]POPULATE!D10)/I10</f>
        <v>0.13860075038622827</v>
      </c>
      <c r="K10" s="124"/>
    </row>
    <row r="11" spans="2:13" ht="15.5" x14ac:dyDescent="0.35">
      <c r="B11" s="117" t="s">
        <v>68</v>
      </c>
      <c r="C11" s="125">
        <f>H11</f>
        <v>16.272600000000001</v>
      </c>
      <c r="D11" s="119">
        <f>[1]POPULATE!D11</f>
        <v>16.4526</v>
      </c>
      <c r="E11" s="126"/>
      <c r="F11" s="127">
        <v>0.18</v>
      </c>
      <c r="G11" s="128">
        <f>[1]POPULATE!D11-F11</f>
        <v>16.272600000000001</v>
      </c>
      <c r="H11" s="131">
        <f t="shared" si="1"/>
        <v>16.272600000000001</v>
      </c>
      <c r="I11" s="131">
        <v>15.200200000000001</v>
      </c>
      <c r="J11" s="123">
        <f>(I11-[1]POPULATE!D11)/I11</f>
        <v>-8.2393652715095828E-2</v>
      </c>
      <c r="K11" s="124"/>
    </row>
    <row r="12" spans="2:13" ht="15.5" x14ac:dyDescent="0.35">
      <c r="B12" s="117" t="s">
        <v>69</v>
      </c>
      <c r="C12" s="125">
        <f t="shared" si="0"/>
        <v>6.3397000000000006</v>
      </c>
      <c r="D12" s="119">
        <f>[1]POPULATE!D12</f>
        <v>6.4347000000000003</v>
      </c>
      <c r="E12" s="133"/>
      <c r="F12" s="127">
        <v>9.5000000000000001E-2</v>
      </c>
      <c r="G12" s="128">
        <f>[1]POPULATE!D12-F12</f>
        <v>6.3397000000000006</v>
      </c>
      <c r="H12" s="131">
        <f t="shared" si="1"/>
        <v>6.3397000000000006</v>
      </c>
      <c r="I12" s="131">
        <v>6.2423999999999999</v>
      </c>
      <c r="J12" s="123">
        <f>(I12-[1]POPULATE!D12)/I12</f>
        <v>-3.080545943867749E-2</v>
      </c>
      <c r="K12" s="134"/>
    </row>
    <row r="13" spans="2:13" ht="15.5" x14ac:dyDescent="0.35">
      <c r="B13" s="117" t="s">
        <v>70</v>
      </c>
      <c r="C13" s="135">
        <f>H13</f>
        <v>1.3375000000000001</v>
      </c>
      <c r="D13" s="119">
        <f>[1]POPULATE!D13</f>
        <v>1.3645</v>
      </c>
      <c r="E13" s="133"/>
      <c r="F13" s="133">
        <v>2.7E-2</v>
      </c>
      <c r="G13" s="135">
        <f>[1]POPULATE!D13-F13</f>
        <v>1.3375000000000001</v>
      </c>
      <c r="H13" s="131">
        <f t="shared" si="1"/>
        <v>1.3375000000000001</v>
      </c>
      <c r="I13" s="131">
        <v>1.3007</v>
      </c>
      <c r="J13" s="136">
        <f>(I13-[1]POPULATE!D13)/I13</f>
        <v>-4.9050511263166049E-2</v>
      </c>
      <c r="K13" s="124"/>
    </row>
    <row r="14" spans="2:13" ht="15.5" x14ac:dyDescent="0.35">
      <c r="B14" s="117" t="s">
        <v>71</v>
      </c>
      <c r="C14" s="125">
        <f t="shared" si="0"/>
        <v>1.3804527885146327</v>
      </c>
      <c r="D14" s="119">
        <f>[1]POPULATE!D14</f>
        <v>0.70440000000000003</v>
      </c>
      <c r="E14" s="126"/>
      <c r="F14" s="127">
        <v>0.02</v>
      </c>
      <c r="G14" s="128">
        <f>[1]POPULATE!D14+F14</f>
        <v>0.72440000000000004</v>
      </c>
      <c r="H14" s="131">
        <f>1/G14</f>
        <v>1.3804527885146327</v>
      </c>
      <c r="I14" s="131">
        <v>0.73750000000000004</v>
      </c>
      <c r="J14" s="123">
        <f>(I14-[1]POPULATE!D14)/I14</f>
        <v>4.4881355932203409E-2</v>
      </c>
      <c r="K14" s="124"/>
    </row>
    <row r="15" spans="2:13" ht="15.5" x14ac:dyDescent="0.35">
      <c r="B15" s="117" t="s">
        <v>72</v>
      </c>
      <c r="C15" s="125">
        <f t="shared" si="0"/>
        <v>6.7972000000000001</v>
      </c>
      <c r="D15" s="119">
        <f>[1]POPULATE!D15</f>
        <v>6.8971999999999998</v>
      </c>
      <c r="E15" s="133"/>
      <c r="F15" s="127">
        <v>0.1</v>
      </c>
      <c r="G15" s="128">
        <f>[1]POPULATE!D15-F15</f>
        <v>6.7972000000000001</v>
      </c>
      <c r="H15" s="131">
        <f t="shared" si="1"/>
        <v>6.7972000000000001</v>
      </c>
      <c r="I15" s="131">
        <v>6.5747999999999998</v>
      </c>
      <c r="J15" s="123">
        <f>(I15-[1]POPULATE!D15)/I15</f>
        <v>-4.9035712112915984E-2</v>
      </c>
      <c r="K15" s="124"/>
    </row>
    <row r="16" spans="2:13" ht="15.5" x14ac:dyDescent="0.35">
      <c r="B16" s="117" t="s">
        <v>73</v>
      </c>
      <c r="C16" s="125">
        <f t="shared" si="0"/>
        <v>6.7663000000000002</v>
      </c>
      <c r="D16" s="119">
        <f>[1]POPULATE!D16</f>
        <v>6.8963000000000001</v>
      </c>
      <c r="E16" s="133"/>
      <c r="F16" s="127">
        <v>0.13</v>
      </c>
      <c r="G16" s="128">
        <f>[1]POPULATE!D16-F16</f>
        <v>6.7663000000000002</v>
      </c>
      <c r="H16" s="131">
        <f t="shared" si="1"/>
        <v>6.7663000000000002</v>
      </c>
      <c r="I16" s="131">
        <v>6.5807000000000002</v>
      </c>
      <c r="J16" s="123">
        <f>(I16-[1]POPULATE!D16)/I16</f>
        <v>-4.7958423875879445E-2</v>
      </c>
      <c r="K16" s="124"/>
    </row>
    <row r="17" spans="2:28" ht="15.5" x14ac:dyDescent="0.35">
      <c r="B17" s="117" t="s">
        <v>74</v>
      </c>
      <c r="C17" s="125">
        <f t="shared" si="0"/>
        <v>10.59</v>
      </c>
      <c r="D17" s="119">
        <f>[1]POPULATE!D17</f>
        <v>10.79</v>
      </c>
      <c r="E17" s="126"/>
      <c r="F17" s="127">
        <v>0.2</v>
      </c>
      <c r="G17" s="128">
        <f>[1]POPULATE!D17-F17</f>
        <v>10.59</v>
      </c>
      <c r="H17" s="131">
        <f t="shared" si="1"/>
        <v>10.59</v>
      </c>
      <c r="I17" s="131">
        <v>5.8</v>
      </c>
      <c r="J17" s="123">
        <f>(I17-[1]POPULATE!D17)/I17</f>
        <v>-0.86034482758620678</v>
      </c>
      <c r="K17" s="124"/>
    </row>
    <row r="18" spans="2:28" ht="15.5" x14ac:dyDescent="0.35">
      <c r="B18" s="117" t="s">
        <v>75</v>
      </c>
      <c r="C18" s="125">
        <f>H18</f>
        <v>43.8459</v>
      </c>
      <c r="D18" s="119">
        <f>[1]POPULATE!D18</f>
        <v>43.995899999999999</v>
      </c>
      <c r="E18" s="126"/>
      <c r="F18" s="127">
        <v>0.15</v>
      </c>
      <c r="G18" s="128">
        <f>[1]POPULATE!D18-F18</f>
        <v>43.8459</v>
      </c>
      <c r="H18" s="131">
        <f t="shared" si="1"/>
        <v>43.8459</v>
      </c>
      <c r="I18" s="131">
        <v>6.9397000000000002</v>
      </c>
      <c r="J18" s="123">
        <f>(I18-[1]POPULATE!D18)/I18</f>
        <v>-5.3397409109903879</v>
      </c>
      <c r="K18" s="124"/>
    </row>
    <row r="19" spans="2:28" ht="15.5" x14ac:dyDescent="0.35">
      <c r="B19" s="117" t="s">
        <v>76</v>
      </c>
      <c r="C19" s="125">
        <f t="shared" si="0"/>
        <v>3.597</v>
      </c>
      <c r="D19" s="119">
        <f>[1]POPULATE!D19</f>
        <v>3.6869999999999998</v>
      </c>
      <c r="E19" s="133"/>
      <c r="F19" s="127">
        <v>0.09</v>
      </c>
      <c r="G19" s="128">
        <f>[1]POPULATE!D19-F19</f>
        <v>3.597</v>
      </c>
      <c r="H19" s="131">
        <f t="shared" si="1"/>
        <v>3.597</v>
      </c>
      <c r="I19" s="131">
        <v>3.7557999999999998</v>
      </c>
      <c r="J19" s="123">
        <f>(I19-[1]POPULATE!D19)/I19</f>
        <v>1.8318334309601145E-2</v>
      </c>
      <c r="K19" s="124"/>
    </row>
    <row r="20" spans="2:28" ht="15.5" x14ac:dyDescent="0.35">
      <c r="B20" s="117" t="s">
        <v>77</v>
      </c>
      <c r="C20" s="125">
        <f>H20</f>
        <v>9.0736999999999988</v>
      </c>
      <c r="D20" s="119">
        <f>[1]POPULATE!D20</f>
        <v>9.2136999999999993</v>
      </c>
      <c r="E20" s="133"/>
      <c r="F20" s="127">
        <v>0.14000000000000001</v>
      </c>
      <c r="G20" s="128">
        <f>[1]POPULATE!D20-F20</f>
        <v>9.0736999999999988</v>
      </c>
      <c r="H20" s="131">
        <f t="shared" si="1"/>
        <v>9.0736999999999988</v>
      </c>
      <c r="I20" s="131">
        <v>8.5128000000000004</v>
      </c>
      <c r="J20" s="123">
        <f>(I20-[1]POPULATE!D20)/I20</f>
        <v>-8.233483695141422E-2</v>
      </c>
      <c r="K20" s="124"/>
    </row>
    <row r="21" spans="2:28" ht="15.5" x14ac:dyDescent="0.35">
      <c r="B21" s="117" t="s">
        <v>78</v>
      </c>
      <c r="C21" s="118">
        <f t="shared" si="0"/>
        <v>126.6</v>
      </c>
      <c r="D21" s="119">
        <f>[1]POPULATE!D21</f>
        <v>129.19999999999999</v>
      </c>
      <c r="E21" s="133"/>
      <c r="F21" s="127">
        <v>2.6</v>
      </c>
      <c r="G21" s="128">
        <f>[1]POPULATE!D21-F21</f>
        <v>126.6</v>
      </c>
      <c r="H21" s="131">
        <f t="shared" si="1"/>
        <v>126.6</v>
      </c>
      <c r="I21" s="131">
        <v>109.9</v>
      </c>
      <c r="J21" s="123">
        <f>(I21-[1]POPULATE!D21)/I21</f>
        <v>-0.1756141947224748</v>
      </c>
      <c r="K21" s="124"/>
    </row>
    <row r="22" spans="2:28" ht="15.5" x14ac:dyDescent="0.35">
      <c r="B22" s="117" t="s">
        <v>79</v>
      </c>
      <c r="C22" s="118">
        <f t="shared" si="0"/>
        <v>564.93330000000003</v>
      </c>
      <c r="D22" s="119">
        <f>[1]POPULATE!D22</f>
        <v>564.93330000000003</v>
      </c>
      <c r="E22" s="137"/>
      <c r="F22" s="138">
        <v>0</v>
      </c>
      <c r="G22" s="139">
        <f>[1]POPULATE!D22-F22</f>
        <v>564.93330000000003</v>
      </c>
      <c r="H22" s="129">
        <f t="shared" si="1"/>
        <v>564.93330000000003</v>
      </c>
      <c r="I22" s="129">
        <v>470</v>
      </c>
      <c r="J22" s="123">
        <f>(I22-[1]POPULATE!D22)/I22</f>
        <v>-0.20198574468085112</v>
      </c>
      <c r="K22" s="124"/>
    </row>
    <row r="23" spans="2:28" ht="15.5" x14ac:dyDescent="0.35">
      <c r="B23" s="117" t="s">
        <v>80</v>
      </c>
      <c r="C23" s="118">
        <f t="shared" si="0"/>
        <v>89.627499999999998</v>
      </c>
      <c r="D23" s="119">
        <f>[1]POPULATE!D23</f>
        <v>91.627499999999998</v>
      </c>
      <c r="E23" s="133"/>
      <c r="F23" s="127">
        <v>2</v>
      </c>
      <c r="G23" s="128">
        <f>[1]POPULATE!D23-F23</f>
        <v>89.627499999999998</v>
      </c>
      <c r="H23" s="131">
        <f t="shared" si="1"/>
        <v>89.627499999999998</v>
      </c>
      <c r="I23" s="131">
        <v>73.930000000000007</v>
      </c>
      <c r="J23" s="123">
        <f>(I23-[1]POPULATE!D23)/I23</f>
        <v>-0.23938184769376422</v>
      </c>
      <c r="K23" s="124"/>
      <c r="AB23" s="140"/>
    </row>
    <row r="24" spans="2:28" ht="15.5" x14ac:dyDescent="0.35">
      <c r="B24" s="141" t="s">
        <v>81</v>
      </c>
      <c r="C24" s="118">
        <f t="shared" si="0"/>
        <v>101.4688</v>
      </c>
      <c r="D24" s="119">
        <f>[1]POPULATE!D24</f>
        <v>103.0688</v>
      </c>
      <c r="E24" s="133"/>
      <c r="F24" s="127">
        <v>1.6</v>
      </c>
      <c r="G24" s="128">
        <f>[1]POPULATE!D24-F24</f>
        <v>101.4688</v>
      </c>
      <c r="H24" s="131">
        <f t="shared" si="1"/>
        <v>101.4688</v>
      </c>
      <c r="I24" s="131">
        <v>99.93</v>
      </c>
      <c r="J24" s="123">
        <f>(I24-[1]POPULATE!D24)/I24</f>
        <v>-3.1409986990893514E-2</v>
      </c>
      <c r="K24" s="124"/>
    </row>
    <row r="25" spans="2:28" ht="15.5" x14ac:dyDescent="0.35">
      <c r="B25" s="117" t="s">
        <v>82</v>
      </c>
      <c r="C25" s="125">
        <f t="shared" si="0"/>
        <v>3.5979999999999999</v>
      </c>
      <c r="D25" s="119">
        <f>[1]POPULATE!D25</f>
        <v>3.673</v>
      </c>
      <c r="E25" s="126"/>
      <c r="F25" s="127">
        <v>7.4999999999999997E-2</v>
      </c>
      <c r="G25" s="128">
        <f>[1]POPULATE!D25-F25</f>
        <v>3.5979999999999999</v>
      </c>
      <c r="H25" s="131">
        <f t="shared" si="1"/>
        <v>3.5979999999999999</v>
      </c>
      <c r="I25" s="131">
        <v>3.6728000000000001</v>
      </c>
      <c r="J25" s="123">
        <f>(I25-[1]POPULATE!D25)/I25</f>
        <v>-5.4454367240246667E-5</v>
      </c>
      <c r="K25" s="124"/>
    </row>
    <row r="26" spans="2:28" ht="15.5" x14ac:dyDescent="0.35">
      <c r="B26" s="117" t="s">
        <v>83</v>
      </c>
      <c r="C26" s="125">
        <f t="shared" si="0"/>
        <v>1.2467999999999999</v>
      </c>
      <c r="D26" s="119">
        <f>[1]POPULATE!D26</f>
        <v>1.2767999999999999</v>
      </c>
      <c r="E26" s="126"/>
      <c r="F26" s="127">
        <v>0.03</v>
      </c>
      <c r="G26" s="128">
        <f>[1]POPULATE!D26-F26</f>
        <v>1.2467999999999999</v>
      </c>
      <c r="H26" s="131">
        <f t="shared" si="1"/>
        <v>1.2467999999999999</v>
      </c>
      <c r="I26" s="131">
        <v>1.3382000000000001</v>
      </c>
      <c r="J26" s="123">
        <f>(I26-[1]POPULATE!D26)/I26</f>
        <v>4.5882528769989626E-2</v>
      </c>
      <c r="K26" s="124"/>
    </row>
    <row r="27" spans="2:28" ht="15.5" x14ac:dyDescent="0.35">
      <c r="B27" s="117" t="s">
        <v>84</v>
      </c>
      <c r="C27" s="118">
        <f>H27</f>
        <v>3629</v>
      </c>
      <c r="D27" s="119">
        <f>[1]POPULATE!D27</f>
        <v>3665</v>
      </c>
      <c r="E27" s="133"/>
      <c r="F27" s="127">
        <v>36</v>
      </c>
      <c r="G27" s="128">
        <f>[1]POPULATE!D27-F27</f>
        <v>3629</v>
      </c>
      <c r="H27" s="131">
        <f t="shared" si="1"/>
        <v>3629</v>
      </c>
      <c r="I27" s="131">
        <v>3692</v>
      </c>
      <c r="J27" s="123">
        <f>(I27-[1]POPULATE!D27)/I27</f>
        <v>7.3131094257854823E-3</v>
      </c>
      <c r="K27" s="124"/>
    </row>
    <row r="28" spans="2:28" ht="15.5" x14ac:dyDescent="0.35">
      <c r="B28" s="117" t="s">
        <v>85</v>
      </c>
      <c r="C28" s="118">
        <f t="shared" si="0"/>
        <v>306.47000000000003</v>
      </c>
      <c r="D28" s="119">
        <f>[1]POPULATE!D28</f>
        <v>310.47000000000003</v>
      </c>
      <c r="E28" s="133"/>
      <c r="F28" s="127">
        <v>4</v>
      </c>
      <c r="G28" s="128">
        <f>[1]POPULATE!D28-F28</f>
        <v>306.47000000000003</v>
      </c>
      <c r="H28" s="131">
        <f t="shared" si="1"/>
        <v>306.47000000000003</v>
      </c>
      <c r="I28" s="131">
        <v>184.8</v>
      </c>
      <c r="J28" s="123">
        <f>(I28-[1]POPULATE!D28)/I28</f>
        <v>-0.6800324675324676</v>
      </c>
      <c r="K28" s="124"/>
    </row>
    <row r="29" spans="2:28" ht="15.5" x14ac:dyDescent="0.35">
      <c r="B29" s="117" t="s">
        <v>86</v>
      </c>
      <c r="C29" s="125">
        <f t="shared" si="0"/>
        <v>2.9834999999999998</v>
      </c>
      <c r="D29" s="119">
        <f>[1]POPULATE!D29</f>
        <v>3.0785</v>
      </c>
      <c r="E29" s="133"/>
      <c r="F29" s="127">
        <v>9.5000000000000001E-2</v>
      </c>
      <c r="G29" s="128">
        <f>[1]POPULATE!D29-F29</f>
        <v>2.9834999999999998</v>
      </c>
      <c r="H29" s="131">
        <f t="shared" si="1"/>
        <v>2.9834999999999998</v>
      </c>
      <c r="I29" s="131">
        <v>3.3174000000000001</v>
      </c>
      <c r="J29" s="123">
        <f>(I29-[1]POPULATE!D29)/I29</f>
        <v>7.2014228009887299E-2</v>
      </c>
      <c r="K29" s="124"/>
    </row>
    <row r="30" spans="2:28" ht="15.5" x14ac:dyDescent="0.35">
      <c r="B30" s="117" t="s">
        <v>87</v>
      </c>
      <c r="C30" s="118">
        <f t="shared" si="0"/>
        <v>2526.69</v>
      </c>
      <c r="D30" s="119">
        <f>[1]POPULATE!D30</f>
        <v>2596.69</v>
      </c>
      <c r="E30" s="133"/>
      <c r="F30" s="127">
        <v>70</v>
      </c>
      <c r="G30" s="128">
        <f>[1]POPULATE!D30-F30</f>
        <v>2526.69</v>
      </c>
      <c r="H30" s="131">
        <f>G30</f>
        <v>2526.69</v>
      </c>
      <c r="I30" s="131">
        <v>2314</v>
      </c>
      <c r="J30" s="123">
        <f>(I30-[1]POPULATE!D30)/I30</f>
        <v>-0.12216508210890235</v>
      </c>
      <c r="K30" s="124"/>
      <c r="L30" s="132"/>
    </row>
    <row r="31" spans="2:28" ht="15.5" x14ac:dyDescent="0.35">
      <c r="B31" s="117" t="s">
        <v>88</v>
      </c>
      <c r="C31" s="125">
        <f>H31</f>
        <v>13.9993</v>
      </c>
      <c r="D31" s="119">
        <f>[1]POPULATE!D31</f>
        <v>14.1243</v>
      </c>
      <c r="E31" s="133"/>
      <c r="F31" s="127">
        <v>0.125</v>
      </c>
      <c r="G31" s="128">
        <f>[1]POPULATE!D31-F31</f>
        <v>13.9993</v>
      </c>
      <c r="H31" s="131">
        <f>G31</f>
        <v>13.9993</v>
      </c>
      <c r="I31" s="131">
        <v>11.013199999999999</v>
      </c>
      <c r="J31" s="123">
        <f>(I31-[1]POPULATE!D31)/I31</f>
        <v>-0.28248828678313304</v>
      </c>
      <c r="K31" s="124"/>
      <c r="L31" s="132"/>
    </row>
    <row r="32" spans="2:28" ht="15.5" x14ac:dyDescent="0.35">
      <c r="B32" s="117" t="s">
        <v>89</v>
      </c>
      <c r="C32" s="125">
        <f>H32</f>
        <v>6.6260000000000003</v>
      </c>
      <c r="D32" s="119">
        <f>[1]POPULATE!D32</f>
        <v>6.726</v>
      </c>
      <c r="E32" s="133"/>
      <c r="F32" s="127">
        <v>0.1</v>
      </c>
      <c r="G32" s="128">
        <f>[1]POPULATE!D32-F32</f>
        <v>6.6260000000000003</v>
      </c>
      <c r="H32" s="131">
        <f>G32</f>
        <v>6.6260000000000003</v>
      </c>
      <c r="I32" s="131">
        <v>6.7428999999999997</v>
      </c>
      <c r="J32" s="123">
        <f>(I32-[1]POPULATE!D32)/I32</f>
        <v>2.5063400020762126E-3</v>
      </c>
      <c r="K32" s="124"/>
    </row>
    <row r="33" spans="2:22" ht="15.5" x14ac:dyDescent="0.35">
      <c r="B33" s="117" t="s">
        <v>90</v>
      </c>
      <c r="C33" s="125">
        <f t="shared" ref="C33:C43" si="2">H33</f>
        <v>46.730000000000004</v>
      </c>
      <c r="D33" s="119">
        <f>[1]POPULATE!D33</f>
        <v>47.53</v>
      </c>
      <c r="E33" s="133"/>
      <c r="F33" s="127">
        <v>0.8</v>
      </c>
      <c r="G33" s="128">
        <f>[1]POPULATE!D33-F33</f>
        <v>46.730000000000004</v>
      </c>
      <c r="H33" s="131">
        <f t="shared" si="1"/>
        <v>46.730000000000004</v>
      </c>
      <c r="I33" s="131">
        <v>39.700000000000003</v>
      </c>
      <c r="J33" s="123">
        <f>(I33-[1]POPULATE!D33)/I33</f>
        <v>-0.19722921914357677</v>
      </c>
      <c r="K33" s="124"/>
    </row>
    <row r="34" spans="2:22" ht="15.5" x14ac:dyDescent="0.35">
      <c r="B34" s="117" t="s">
        <v>91</v>
      </c>
      <c r="C34" s="118">
        <f t="shared" si="2"/>
        <v>554.42989999999998</v>
      </c>
      <c r="D34" s="119">
        <f>[1]POPULATE!D34</f>
        <v>564.92989999999998</v>
      </c>
      <c r="E34" s="133"/>
      <c r="F34" s="127">
        <v>10.5</v>
      </c>
      <c r="G34" s="128">
        <f>[1]POPULATE!D34-F34</f>
        <v>554.42989999999998</v>
      </c>
      <c r="H34" s="131">
        <f t="shared" si="1"/>
        <v>554.42989999999998</v>
      </c>
      <c r="I34" s="131">
        <v>550.59699999999998</v>
      </c>
      <c r="J34" s="123">
        <f>(I34-[1]POPULATE!D34)/I34</f>
        <v>-2.6031562104406665E-2</v>
      </c>
      <c r="K34" s="124"/>
    </row>
    <row r="35" spans="2:22" ht="15.5" x14ac:dyDescent="0.35">
      <c r="B35" s="117" t="s">
        <v>92</v>
      </c>
      <c r="C35" s="135">
        <f t="shared" si="2"/>
        <v>4.3090999999999999</v>
      </c>
      <c r="D35" s="119">
        <f>[1]POPULATE!D35</f>
        <v>4.3891</v>
      </c>
      <c r="E35" s="133"/>
      <c r="F35" s="133">
        <v>0.08</v>
      </c>
      <c r="G35" s="135">
        <f>[1]POPULATE!D35-F35</f>
        <v>4.3090999999999999</v>
      </c>
      <c r="H35" s="131">
        <f t="shared" si="1"/>
        <v>4.3090999999999999</v>
      </c>
      <c r="I35" s="131">
        <v>4.0871000000000004</v>
      </c>
      <c r="J35" s="136">
        <f>(I35-[1]POPULATE!D35)/I35</f>
        <v>-7.3891022974725246E-2</v>
      </c>
      <c r="K35" s="124"/>
      <c r="U35" s="142"/>
    </row>
    <row r="36" spans="2:22" ht="15.5" x14ac:dyDescent="0.35">
      <c r="B36" s="117" t="s">
        <v>93</v>
      </c>
      <c r="C36" s="143">
        <f t="shared" si="2"/>
        <v>23642.289100000002</v>
      </c>
      <c r="D36" s="119">
        <f>[1]POPULATE!D36</f>
        <v>24242.289100000002</v>
      </c>
      <c r="E36" s="133"/>
      <c r="F36" s="127">
        <v>600</v>
      </c>
      <c r="G36" s="128">
        <f>[1]POPULATE!D36-F36</f>
        <v>23642.289100000002</v>
      </c>
      <c r="H36" s="131">
        <f t="shared" si="1"/>
        <v>23642.289100000002</v>
      </c>
      <c r="I36" s="131">
        <v>10040.459000000001</v>
      </c>
      <c r="J36" s="123">
        <f>(I36-[1]POPULATE!D36)/I36</f>
        <v>-1.4144602452935668</v>
      </c>
      <c r="K36" s="124"/>
      <c r="V36" s="142"/>
    </row>
    <row r="37" spans="2:22" ht="15.5" x14ac:dyDescent="0.35">
      <c r="B37" s="117" t="s">
        <v>94</v>
      </c>
      <c r="C37" s="118">
        <f t="shared" si="2"/>
        <v>42.727500000000006</v>
      </c>
      <c r="D37" s="119">
        <f>[1]POPULATE!D37</f>
        <v>44.027500000000003</v>
      </c>
      <c r="E37" s="133"/>
      <c r="F37" s="127">
        <v>1.3</v>
      </c>
      <c r="G37" s="128">
        <f>[1]POPULATE!D37-F37</f>
        <v>42.727500000000006</v>
      </c>
      <c r="H37" s="131">
        <f t="shared" si="1"/>
        <v>42.727500000000006</v>
      </c>
      <c r="I37" s="131">
        <v>28.459</v>
      </c>
      <c r="J37" s="123">
        <f>(I37-[1]POPULATE!D37)/I37</f>
        <v>-0.54705014230998994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57.094999999999999</v>
      </c>
      <c r="D40" s="119">
        <f>[1]POPULATE!D40</f>
        <v>58.604999999999997</v>
      </c>
      <c r="E40" s="133"/>
      <c r="F40" s="127">
        <v>1.51</v>
      </c>
      <c r="G40" s="128">
        <f>[1]POPULATE!D40-F40</f>
        <v>57.094999999999999</v>
      </c>
      <c r="H40" s="131">
        <f t="shared" si="1"/>
        <v>57.094999999999999</v>
      </c>
      <c r="I40" s="131">
        <v>48.14</v>
      </c>
      <c r="J40" s="123">
        <f>(I40-[1]POPULATE!D40)/I40</f>
        <v>-0.21738678853344404</v>
      </c>
      <c r="K40" s="124"/>
    </row>
    <row r="41" spans="2:22" ht="15.5" x14ac:dyDescent="0.35">
      <c r="B41" s="117" t="s">
        <v>98</v>
      </c>
      <c r="C41" s="118">
        <f>H41</f>
        <v>25823</v>
      </c>
      <c r="D41" s="119">
        <f>[1]POPULATE!D41</f>
        <v>26223</v>
      </c>
      <c r="E41" s="133"/>
      <c r="F41" s="127">
        <v>400</v>
      </c>
      <c r="G41" s="128">
        <f>[1]POPULATE!D41-F41</f>
        <v>25823</v>
      </c>
      <c r="H41" s="131">
        <f t="shared" si="1"/>
        <v>25823</v>
      </c>
      <c r="I41" s="131">
        <v>23160</v>
      </c>
      <c r="J41" s="123">
        <f>(I41-[1]POPULATE!D41)/I41</f>
        <v>-0.1322538860103627</v>
      </c>
      <c r="K41" s="124"/>
    </row>
    <row r="42" spans="2:22" ht="15.5" x14ac:dyDescent="0.35">
      <c r="B42" s="117" t="s">
        <v>99</v>
      </c>
      <c r="C42" s="125">
        <f t="shared" si="2"/>
        <v>7.7202000000000002</v>
      </c>
      <c r="D42" s="119">
        <f>[1]POPULATE!D42</f>
        <v>7.8201999999999998</v>
      </c>
      <c r="E42" s="133"/>
      <c r="F42" s="127">
        <v>0.1</v>
      </c>
      <c r="G42" s="128">
        <f>[1]POPULATE!D42-F42</f>
        <v>7.7202000000000002</v>
      </c>
      <c r="H42" s="131">
        <f t="shared" si="1"/>
        <v>7.7202000000000002</v>
      </c>
      <c r="I42" s="131">
        <v>7.7507000000000001</v>
      </c>
      <c r="J42" s="123">
        <f>(I42-[1]POPULATE!D42)/I42</f>
        <v>-8.9669320190433992E-3</v>
      </c>
      <c r="K42" s="124"/>
    </row>
    <row r="43" spans="2:22" ht="15.5" x14ac:dyDescent="0.35">
      <c r="B43" s="117" t="s">
        <v>100</v>
      </c>
      <c r="C43" s="125">
        <f t="shared" si="2"/>
        <v>3.6795</v>
      </c>
      <c r="D43" s="119">
        <f>[1]POPULATE!D43</f>
        <v>3.7545000000000002</v>
      </c>
      <c r="E43" s="133"/>
      <c r="F43" s="127">
        <v>7.4999999999999997E-2</v>
      </c>
      <c r="G43" s="128">
        <f>[1]POPULATE!D43-F43</f>
        <v>3.6795</v>
      </c>
      <c r="H43" s="131">
        <f t="shared" si="1"/>
        <v>3.6795</v>
      </c>
      <c r="I43" s="131">
        <v>3.7504</v>
      </c>
      <c r="J43" s="123">
        <f>(I43-[1]POPULATE!D43)/I43</f>
        <v>-1.0932167235495453E-3</v>
      </c>
      <c r="K43" s="124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5:C16">
    <cfRule type="cellIs" dxfId="54" priority="56" operator="lessThan">
      <formula>6.7</formula>
    </cfRule>
    <cfRule type="cellIs" dxfId="55" priority="57" operator="greaterThan">
      <formula>7.2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1" priority="52" operator="lessThan">
      <formula>28</formula>
    </cfRule>
    <cfRule type="cellIs" dxfId="50" priority="53" operator="greaterThan">
      <formula>45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78</formula>
    </cfRule>
    <cfRule type="cellIs" dxfId="41" priority="43" operator="greaterThan">
      <formula>90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280</formula>
    </cfRule>
    <cfRule type="cellIs" dxfId="31" priority="33" operator="greaterThan">
      <formula>324</formula>
    </cfRule>
  </conditionalFormatting>
  <conditionalFormatting sqref="C29">
    <cfRule type="cellIs" dxfId="28" priority="30" operator="lessThan">
      <formula>2.95</formula>
    </cfRule>
    <cfRule type="cellIs" dxfId="29" priority="31" operator="greaterThan">
      <formula>3.6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39</formula>
    </cfRule>
    <cfRule type="cellIs" dxfId="12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49</formula>
    </cfRule>
    <cfRule type="cellIs" dxfId="6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2026-03-05T07:56:45Z</dcterms:created>
  <dcterms:modified xsi:type="dcterms:W3CDTF">2026-03-05T07:57:35Z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2026-03-05T07:57:26Z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7e90c834-fb82-4870-ba9e-e2377bf62dcf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