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F9A3F7BD-1520-4B7A-A0DB-C693248F2BF2}" xr6:coauthVersionLast="47" xr6:coauthVersionMax="47" xr10:uidLastSave="{00000000-0000-0000-0000-000000000000}"/>
  <bookViews>
    <workbookView xWindow="-110" yWindow="-110" windowWidth="19420" windowHeight="11500" xr2:uid="{5A8254E6-8002-451C-87FF-30515D3D1583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H41" i="1"/>
  <c r="G41" i="1"/>
  <c r="K41" i="1" s="1"/>
  <c r="B41" i="1" s="1"/>
  <c r="L50" i="1" s="1"/>
  <c r="P39" i="1"/>
  <c r="S39" i="1" s="1"/>
  <c r="K39" i="1"/>
  <c r="C39" i="1" s="1"/>
  <c r="G39" i="1"/>
  <c r="J39" i="1" s="1"/>
  <c r="P37" i="1"/>
  <c r="Q37" i="1" s="1"/>
  <c r="K37" i="1"/>
  <c r="J37" i="1"/>
  <c r="H37" i="1"/>
  <c r="G37" i="1"/>
  <c r="G35" i="1"/>
  <c r="J35" i="1" s="1"/>
  <c r="C35" i="1" s="1"/>
  <c r="X34" i="1"/>
  <c r="P33" i="1"/>
  <c r="S33" i="1" s="1"/>
  <c r="J33" i="1"/>
  <c r="H33" i="1"/>
  <c r="K33" i="1" s="1"/>
  <c r="G33" i="1"/>
  <c r="X32" i="1"/>
  <c r="Q31" i="1"/>
  <c r="P31" i="1"/>
  <c r="T31" i="1" s="1"/>
  <c r="K31" i="1"/>
  <c r="G31" i="1"/>
  <c r="J31" i="1" s="1"/>
  <c r="C31" i="1" s="1"/>
  <c r="X30" i="1"/>
  <c r="H29" i="1"/>
  <c r="G29" i="1"/>
  <c r="P29" i="1" s="1"/>
  <c r="X28" i="1"/>
  <c r="G27" i="1"/>
  <c r="J27" i="1" s="1"/>
  <c r="C27" i="1" s="1"/>
  <c r="G25" i="1"/>
  <c r="J25" i="1" s="1"/>
  <c r="B25" i="1" s="1"/>
  <c r="C23" i="1"/>
  <c r="C37" i="1" s="1"/>
  <c r="B23" i="1"/>
  <c r="B39" i="1" s="1"/>
  <c r="B16" i="1"/>
  <c r="T29" i="1" l="1"/>
  <c r="Q29" i="1"/>
  <c r="S29" i="1"/>
  <c r="H25" i="1"/>
  <c r="Q33" i="1"/>
  <c r="T33" i="1" s="1"/>
  <c r="T39" i="1"/>
  <c r="K25" i="1"/>
  <c r="C25" i="1" s="1"/>
  <c r="L48" i="1" s="1"/>
  <c r="T37" i="1"/>
  <c r="P27" i="1"/>
  <c r="J29" i="1"/>
  <c r="B29" i="1" s="1"/>
  <c r="B33" i="1"/>
  <c r="L51" i="1" s="1"/>
  <c r="B37" i="1"/>
  <c r="J41" i="1"/>
  <c r="C41" i="1" s="1"/>
  <c r="Y24" i="1"/>
  <c r="K29" i="1"/>
  <c r="C29" i="1" s="1"/>
  <c r="L49" i="1" s="1"/>
  <c r="H31" i="1"/>
  <c r="C33" i="1"/>
  <c r="H39" i="1"/>
  <c r="X26" i="1"/>
  <c r="B35" i="1"/>
  <c r="P41" i="1"/>
  <c r="Q39" i="1"/>
  <c r="P35" i="1"/>
  <c r="S37" i="1"/>
  <c r="S31" i="1"/>
  <c r="H27" i="1"/>
  <c r="K27" i="1" s="1"/>
  <c r="B27" i="1" s="1"/>
  <c r="L52" i="1" s="1"/>
  <c r="P25" i="1"/>
  <c r="B31" i="1"/>
  <c r="K35" i="1"/>
  <c r="H35" i="1"/>
  <c r="T41" i="1" l="1"/>
  <c r="S41" i="1"/>
  <c r="Q41" i="1"/>
  <c r="Q25" i="1"/>
  <c r="T25" i="1"/>
  <c r="S25" i="1"/>
  <c r="S35" i="1"/>
  <c r="T35" i="1"/>
  <c r="Q35" i="1"/>
  <c r="S27" i="1"/>
  <c r="Q27" i="1"/>
  <c r="T27" i="1" s="1"/>
  <c r="Y30" i="1"/>
  <c r="Y26" i="1"/>
  <c r="Y28" i="1"/>
  <c r="AA24" i="1"/>
  <c r="Y34" i="1"/>
  <c r="Y32" i="1"/>
  <c r="AA28" i="1" l="1"/>
  <c r="AA32" i="1"/>
  <c r="AA26" i="1"/>
  <c r="AB24" i="1"/>
  <c r="AA30" i="1"/>
  <c r="AA34" i="1"/>
  <c r="AB26" i="1" l="1"/>
  <c r="AB34" i="1"/>
  <c r="AB32" i="1"/>
  <c r="AB30" i="1"/>
  <c r="AB28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<sst xmlns="http://schemas.openxmlformats.org/spreadsheetml/2006/main" count="151" uniqueCount="101">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</sst>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December%2018%202025_.xlsx" TargetMode="External"/><Relationship Id="rId1" Type="http://schemas.openxmlformats.org/officeDocument/2006/relationships/externalLinkPath" Target="file:///C:\Users\A242288\AppData\Local\Microsoft\Windows\INetCache\Content.Outlook\8HR7ZBAS\CURRENT%20RATE%20GUIDE%20-%20December%2018%20202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1470</v>
          </cell>
        </row>
        <row r="7">
          <cell r="D7">
            <v>1.1744000000000001</v>
          </cell>
          <cell r="G7">
            <v>1440</v>
          </cell>
          <cell r="H7">
            <v>1470</v>
          </cell>
        </row>
        <row r="8">
          <cell r="D8">
            <v>155.91</v>
          </cell>
        </row>
        <row r="9">
          <cell r="D9">
            <v>1.337</v>
          </cell>
          <cell r="G9">
            <v>1.1742999999999999</v>
          </cell>
        </row>
        <row r="10">
          <cell r="D10">
            <v>0.79510000000000003</v>
          </cell>
          <cell r="G10">
            <v>155.9</v>
          </cell>
        </row>
        <row r="11">
          <cell r="D11">
            <v>16.741900000000001</v>
          </cell>
          <cell r="G11">
            <v>1.3369</v>
          </cell>
        </row>
        <row r="12">
          <cell r="D12">
            <v>6.3624000000000001</v>
          </cell>
          <cell r="G12">
            <v>0.79500000000000004</v>
          </cell>
        </row>
        <row r="13">
          <cell r="D13">
            <v>1.3771</v>
          </cell>
          <cell r="G13">
            <v>16.7361</v>
          </cell>
        </row>
        <row r="14">
          <cell r="D14">
            <v>0.66100000000000003</v>
          </cell>
          <cell r="G14">
            <v>6.3619000000000003</v>
          </cell>
        </row>
        <row r="15">
          <cell r="D15">
            <v>7.0362</v>
          </cell>
          <cell r="G15">
            <v>1.377</v>
          </cell>
        </row>
        <row r="16">
          <cell r="D16">
            <v>7.0414000000000003</v>
          </cell>
          <cell r="G16">
            <v>0.66090000000000004</v>
          </cell>
        </row>
        <row r="17">
          <cell r="D17">
            <v>11.5275</v>
          </cell>
          <cell r="G17">
            <v>7.0358999999999998</v>
          </cell>
        </row>
        <row r="18">
          <cell r="D18">
            <v>42.736400000000003</v>
          </cell>
        </row>
        <row r="19">
          <cell r="D19">
            <v>3.5863</v>
          </cell>
          <cell r="G19">
            <v>1458.5</v>
          </cell>
        </row>
        <row r="20">
          <cell r="D20">
            <v>9.2872000000000003</v>
          </cell>
        </row>
        <row r="21">
          <cell r="D21">
            <v>129.05000000000001</v>
          </cell>
        </row>
        <row r="22">
          <cell r="D22">
            <v>558.56079999999997</v>
          </cell>
        </row>
        <row r="23">
          <cell r="D23">
            <v>90.13</v>
          </cell>
        </row>
        <row r="24">
          <cell r="D24">
            <v>102.06740000000001</v>
          </cell>
        </row>
        <row r="25">
          <cell r="D25">
            <v>3.673</v>
          </cell>
        </row>
        <row r="26">
          <cell r="D26">
            <v>1.2912999999999999</v>
          </cell>
        </row>
        <row r="27">
          <cell r="D27">
            <v>3570.49</v>
          </cell>
        </row>
        <row r="28">
          <cell r="D28">
            <v>309.31</v>
          </cell>
        </row>
        <row r="29">
          <cell r="D29">
            <v>3.2336</v>
          </cell>
        </row>
        <row r="30">
          <cell r="D30">
            <v>2460</v>
          </cell>
        </row>
        <row r="31">
          <cell r="D31">
            <v>14.204499999999999</v>
          </cell>
        </row>
        <row r="32">
          <cell r="D32">
            <v>6.7773000000000003</v>
          </cell>
        </row>
        <row r="33">
          <cell r="D33">
            <v>46.18</v>
          </cell>
        </row>
        <row r="34">
          <cell r="D34">
            <v>558.57590000000005</v>
          </cell>
        </row>
        <row r="35">
          <cell r="D35">
            <v>4.3380000000000001</v>
          </cell>
        </row>
        <row r="36">
          <cell r="D36">
            <v>23222.699199999999</v>
          </cell>
        </row>
        <row r="37">
          <cell r="D37">
            <v>42.5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58.557000000000002</v>
          </cell>
        </row>
        <row r="41">
          <cell r="D41">
            <v>26337</v>
          </cell>
        </row>
        <row r="42">
          <cell r="D42">
            <v>7.78</v>
          </cell>
        </row>
        <row r="43">
          <cell r="D43">
            <v>3.7511000000000001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01D50-2F1F-4FF8-A5CD-8A508795A13F}">
  <dimension ref="A1:AI93"/>
  <sheetViews>
    <sheetView tabSelected="1" workbookViewId="0">
      <selection activeCell="B12" sqref="B12"/>
    </sheetView>
  </sheetViews>
  <sheetFormatPr defaultColWidth="8.90625" defaultRowHeight="14.5" x14ac:dyDescent="0.35"/>
  <cols>
    <col min="1" max="1" width="24.453125" style="4" customWidth="1"/>
    <col min="2" max="2" width="20" style="4" customWidth="1"/>
    <col min="3" max="3" width="29.90625" style="4" customWidth="1"/>
    <col min="4" max="4" width="26" style="4" customWidth="1"/>
    <col min="5" max="5" width="15.36328125" style="4" customWidth="1"/>
    <col min="6" max="6" width="21.453125" style="4" customWidth="1"/>
    <col min="7" max="7" width="27.08984375" style="57" hidden="1" customWidth="1"/>
    <col min="8" max="8" width="11.36328125" style="57" hidden="1" customWidth="1"/>
    <col min="9" max="9" width="2.36328125" style="57" hidden="1" customWidth="1"/>
    <col min="10" max="10" width="36" style="57" customWidth="1"/>
    <col min="11" max="11" width="25.453125" style="57" bestFit="1" customWidth="1"/>
    <col min="12" max="12" width="0.90625" style="4" customWidth="1"/>
    <col min="13" max="13" width="27.90625" style="4" customWidth="1"/>
    <col min="14" max="14" width="0.6328125" style="4" customWidth="1"/>
    <col min="15" max="15" width="21.453125" style="4" customWidth="1"/>
    <col min="16" max="16" width="27.08984375" style="57" hidden="1" customWidth="1"/>
    <col min="17" max="17" width="11.36328125" style="57" hidden="1" customWidth="1"/>
    <col min="18" max="18" width="2.36328125" style="57" hidden="1" customWidth="1"/>
    <col min="19" max="19" width="36" style="57" customWidth="1"/>
    <col min="20" max="20" width="25.453125" style="57" bestFit="1" customWidth="1"/>
    <col min="21" max="21" width="0.90625" style="4" customWidth="1"/>
    <col min="22" max="22" width="27.90625" style="4" customWidth="1"/>
    <col min="23" max="23" width="24.08984375" style="4" customWidth="1"/>
    <col min="24" max="24" width="11.36328125" style="4" hidden="1" customWidth="1"/>
    <col min="25" max="25" width="11.9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36328125" style="4" customWidth="1"/>
    <col min="30" max="30" width="28.6328125" style="4" hidden="1" customWidth="1"/>
    <col min="31" max="16384" width="8.9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46009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4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1440</v>
      </c>
      <c r="C23" s="8">
        <f>[1]POPULATE!H7</f>
        <v>1470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1470</v>
      </c>
      <c r="Z24" s="19"/>
      <c r="AA24" s="50">
        <f>Y24</f>
        <v>1470</v>
      </c>
      <c r="AB24" s="49">
        <f>AA24</f>
        <v>1470</v>
      </c>
      <c r="AD24" s="4" t="s">
        <v>23</v>
      </c>
    </row>
    <row r="25" spans="1:35" ht="14" x14ac:dyDescent="0.3">
      <c r="A25" s="2" t="s">
        <v>24</v>
      </c>
      <c r="B25" s="8">
        <f>B23*(J25-0.0075)</f>
        <v>1651.3919999999998</v>
      </c>
      <c r="C25" s="8">
        <f>+C23*(K25-0.0055)</f>
        <v>1747.5359999999998</v>
      </c>
      <c r="D25" s="8"/>
      <c r="E25" s="8"/>
      <c r="F25" s="51" t="s">
        <v>25</v>
      </c>
      <c r="G25" s="52">
        <f>[1]POPULATE!G9</f>
        <v>1.1742999999999999</v>
      </c>
      <c r="H25" s="53">
        <f>+G25+0.03</f>
        <v>1.2042999999999999</v>
      </c>
      <c r="I25" s="53"/>
      <c r="J25" s="45">
        <f>+(G25-($J$17/10000))+0</f>
        <v>1.1542999999999999</v>
      </c>
      <c r="K25" s="45">
        <f>+(G25+($K$17/10000))+0</f>
        <v>1.1942999999999999</v>
      </c>
      <c r="L25" s="8" t="s">
        <v>26</v>
      </c>
      <c r="M25" s="54"/>
      <c r="N25" s="48"/>
      <c r="O25" s="51" t="s">
        <v>25</v>
      </c>
      <c r="P25" s="52">
        <f>G25</f>
        <v>1.1742999999999999</v>
      </c>
      <c r="Q25" s="53">
        <f>+P25+0.03</f>
        <v>1.2042999999999999</v>
      </c>
      <c r="R25" s="53"/>
      <c r="S25" s="45">
        <f>+(P25-($S$17/10000))+0</f>
        <v>1.1442999999999999</v>
      </c>
      <c r="T25" s="45">
        <f>+(P25+($T$17/10000))+0</f>
        <v>1.2042999999999999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1.1802999999999999</v>
      </c>
      <c r="Y26" s="49">
        <f>$Y$24*X26</f>
        <v>1735.0409999999999</v>
      </c>
      <c r="Z26" s="19"/>
      <c r="AA26" s="56">
        <f>$AA$24*X26</f>
        <v>1735.0409999999999</v>
      </c>
      <c r="AB26" s="56">
        <f>$AB$24*X26</f>
        <v>1735.0409999999999</v>
      </c>
      <c r="AD26" s="4" t="s">
        <v>23</v>
      </c>
    </row>
    <row r="27" spans="1:35" ht="14" x14ac:dyDescent="0.3">
      <c r="A27" s="2" t="s">
        <v>28</v>
      </c>
      <c r="B27" s="8">
        <f>+B23/K27</f>
        <v>9.0623033354310891</v>
      </c>
      <c r="C27" s="8">
        <f>+C23/J27</f>
        <v>9.5516569200779724</v>
      </c>
      <c r="D27" s="23"/>
      <c r="E27" s="59"/>
      <c r="F27" s="51" t="s">
        <v>29</v>
      </c>
      <c r="G27" s="52">
        <f>[1]POPULATE!G10</f>
        <v>155.9</v>
      </c>
      <c r="H27" s="53">
        <f>+G27+1</f>
        <v>156.9</v>
      </c>
      <c r="I27" s="17"/>
      <c r="J27" s="8">
        <f>+(G27-($J$17/100))+0</f>
        <v>153.9</v>
      </c>
      <c r="K27" s="8">
        <f>+(H27+($K$17/100))-0</f>
        <v>158.9</v>
      </c>
      <c r="L27" s="16" t="s">
        <v>30</v>
      </c>
      <c r="M27" s="16"/>
      <c r="O27" s="51" t="s">
        <v>29</v>
      </c>
      <c r="P27" s="52">
        <f t="shared" ref="P27:P43" si="0">G27</f>
        <v>155.9</v>
      </c>
      <c r="Q27" s="53">
        <f>+P27+1</f>
        <v>156.9</v>
      </c>
      <c r="R27" s="17"/>
      <c r="S27" s="8">
        <f>+(P27-($S$17/100))+0</f>
        <v>152.9</v>
      </c>
      <c r="T27" s="8">
        <f>+(Q27+($T$17/100))-0</f>
        <v>159.9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1.3429</v>
      </c>
      <c r="Y28" s="49">
        <f>$Y$24*X28</f>
        <v>1974.0629999999999</v>
      </c>
      <c r="Z28" s="19"/>
      <c r="AA28" s="56">
        <f>$AA$24*X28</f>
        <v>1974.0629999999999</v>
      </c>
      <c r="AB28" s="56">
        <f>$AB$24*X28</f>
        <v>1974.0629999999999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1885.5359999999998</v>
      </c>
      <c r="C29" s="16">
        <f>+C23*(K29-0.0055)</f>
        <v>1986.558</v>
      </c>
      <c r="D29" s="16"/>
      <c r="E29" s="8"/>
      <c r="F29" s="41" t="s">
        <v>32</v>
      </c>
      <c r="G29" s="52">
        <f>[1]POPULATE!G11</f>
        <v>1.3369</v>
      </c>
      <c r="H29" s="53">
        <f>+G29+0.03</f>
        <v>1.3669</v>
      </c>
      <c r="I29" s="53"/>
      <c r="J29" s="45">
        <f>+(G29-($J$17/10000))+0</f>
        <v>1.3169</v>
      </c>
      <c r="K29" s="45">
        <f>+(G29+($K$17/10000))-0</f>
        <v>1.3569</v>
      </c>
      <c r="L29" s="16" t="s">
        <v>33</v>
      </c>
      <c r="M29" s="16"/>
      <c r="N29" s="48"/>
      <c r="O29" s="41" t="s">
        <v>32</v>
      </c>
      <c r="P29" s="52">
        <f t="shared" si="0"/>
        <v>1.3369</v>
      </c>
      <c r="Q29" s="53">
        <f>+P29+0.03</f>
        <v>1.3669</v>
      </c>
      <c r="R29" s="53"/>
      <c r="S29" s="45">
        <f>+(P29-($S$17/10000))+0</f>
        <v>1.3069</v>
      </c>
      <c r="T29" s="45">
        <f>+(P29+($T$17/10000))-0</f>
        <v>1.3669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0.78900000000000003</v>
      </c>
      <c r="Y30" s="49">
        <f>$Y$24/X30</f>
        <v>1863.1178707224333</v>
      </c>
      <c r="Z30" s="19"/>
      <c r="AA30" s="56">
        <f>$AA$24/X30</f>
        <v>1863.1178707224333</v>
      </c>
      <c r="AB30" s="56">
        <f>$AB$24/X30</f>
        <v>1863.1178707224333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1766.8711656441717</v>
      </c>
      <c r="C31" s="16">
        <f>+C23/J31</f>
        <v>1896.7741935483871</v>
      </c>
      <c r="D31" s="16"/>
      <c r="E31" s="8"/>
      <c r="F31" s="41" t="s">
        <v>35</v>
      </c>
      <c r="G31" s="52">
        <f>[1]POPULATE!G12</f>
        <v>0.79500000000000004</v>
      </c>
      <c r="H31" s="53">
        <f>+G31+0.04</f>
        <v>0.83500000000000008</v>
      </c>
      <c r="I31" s="53"/>
      <c r="J31" s="45">
        <f>+(G31-($J$17/10000))+0</f>
        <v>0.77500000000000002</v>
      </c>
      <c r="K31" s="45">
        <f>+(G31+($K$17/10000))-0</f>
        <v>0.81500000000000006</v>
      </c>
      <c r="L31" s="16" t="s">
        <v>36</v>
      </c>
      <c r="M31" s="16"/>
      <c r="N31" s="48"/>
      <c r="O31" s="41" t="s">
        <v>35</v>
      </c>
      <c r="P31" s="52">
        <f t="shared" si="0"/>
        <v>0.79500000000000004</v>
      </c>
      <c r="Q31" s="53">
        <f>+P31+0.04</f>
        <v>0.83500000000000008</v>
      </c>
      <c r="R31" s="53"/>
      <c r="S31" s="45">
        <f>+(P31-($S$17/10000))+0</f>
        <v>0.76500000000000001</v>
      </c>
      <c r="T31" s="45">
        <f>+(P31+($T$17/10000))-0</f>
        <v>0.82500000000000007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16.6661</v>
      </c>
      <c r="Y32" s="49">
        <f>$Y$24/X32</f>
        <v>88.202998901962673</v>
      </c>
      <c r="Z32" s="19"/>
      <c r="AA32" s="56">
        <f>$AA$24/X32</f>
        <v>88.202998901962673</v>
      </c>
      <c r="AB32" s="56">
        <f>$AB$24/X32</f>
        <v>88.202998901962673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85.479725277660705</v>
      </c>
      <c r="C33" s="16">
        <f>+C23/J33</f>
        <v>88.388621317892387</v>
      </c>
      <c r="D33" s="16"/>
      <c r="E33" s="8"/>
      <c r="F33" s="66" t="s">
        <v>38</v>
      </c>
      <c r="G33" s="52">
        <f>[1]POPULATE!G13</f>
        <v>16.7361</v>
      </c>
      <c r="H33" s="53">
        <f>+G33+0.04</f>
        <v>16.7761</v>
      </c>
      <c r="I33" s="67"/>
      <c r="J33" s="45">
        <f>+(G33-($J$17/10000))-0.085</f>
        <v>16.6311</v>
      </c>
      <c r="K33" s="45">
        <f>+(H33+($K$17/10000))+0.05</f>
        <v>16.8461</v>
      </c>
      <c r="L33" s="41" t="s">
        <v>39</v>
      </c>
      <c r="M33" s="41"/>
      <c r="N33" s="48"/>
      <c r="O33" s="66" t="s">
        <v>38</v>
      </c>
      <c r="P33" s="52">
        <f t="shared" si="0"/>
        <v>16.7361</v>
      </c>
      <c r="Q33" s="53">
        <f>+P33+0.04</f>
        <v>16.7761</v>
      </c>
      <c r="R33" s="67"/>
      <c r="S33" s="45">
        <f>+(P33-($S$17/10000))-0.085</f>
        <v>16.621099999999998</v>
      </c>
      <c r="T33" s="45">
        <f>+(Q33+($T$17/10000))+0.05</f>
        <v>16.856100000000001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1.371</v>
      </c>
      <c r="Y34" s="49">
        <f>$Y$24/X34</f>
        <v>1072.2100656455143</v>
      </c>
      <c r="Z34" s="19"/>
      <c r="AA34" s="56">
        <f>$AA$24/X34</f>
        <v>1072.2100656455143</v>
      </c>
      <c r="AB34" s="56">
        <f>$AB$24/X34</f>
        <v>1072.2100656455143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225.63813284445072</v>
      </c>
      <c r="C35" s="16">
        <f>+C23/J35</f>
        <v>231.79173433828976</v>
      </c>
      <c r="D35" s="16"/>
      <c r="E35" s="8"/>
      <c r="F35" s="66" t="s">
        <v>42</v>
      </c>
      <c r="G35" s="52">
        <f>[1]POPULATE!G14</f>
        <v>6.3619000000000003</v>
      </c>
      <c r="H35" s="53">
        <f>+G35+0.04</f>
        <v>6.4019000000000004</v>
      </c>
      <c r="I35" s="67"/>
      <c r="J35" s="45">
        <f>+(G35-($J$17/10000))-0</f>
        <v>6.3419000000000008</v>
      </c>
      <c r="K35" s="45">
        <f>+(G35+($K$17/10000))-0</f>
        <v>6.3818999999999999</v>
      </c>
      <c r="L35" s="16" t="s">
        <v>43</v>
      </c>
      <c r="M35" s="16"/>
      <c r="N35" s="48"/>
      <c r="O35" s="66" t="s">
        <v>42</v>
      </c>
      <c r="P35" s="52">
        <f t="shared" si="0"/>
        <v>6.3619000000000003</v>
      </c>
      <c r="Q35" s="53">
        <f>+P35+0.04</f>
        <v>6.4019000000000004</v>
      </c>
      <c r="R35" s="67"/>
      <c r="S35" s="45">
        <f>+(P35-($S$17/10000))-0</f>
        <v>6.3319000000000001</v>
      </c>
      <c r="T35" s="45">
        <f>+(P35+($T$17/10000))-0</f>
        <v>6.3919000000000006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1030.7802433786685</v>
      </c>
      <c r="C37" s="16">
        <f>+C23/J37</f>
        <v>1083.2719233603536</v>
      </c>
      <c r="D37" s="16"/>
      <c r="E37" s="8"/>
      <c r="F37" s="66" t="s">
        <v>44</v>
      </c>
      <c r="G37" s="52">
        <f>[1]POPULATE!G15</f>
        <v>1.377</v>
      </c>
      <c r="H37" s="53">
        <f>+G37+0.04</f>
        <v>1.417</v>
      </c>
      <c r="I37" s="69"/>
      <c r="J37" s="45">
        <f>+(G37-($J$17/10000))-0</f>
        <v>1.357</v>
      </c>
      <c r="K37" s="45">
        <f>+(G37+($K$17/10000))-0</f>
        <v>1.397</v>
      </c>
      <c r="L37" s="16" t="s">
        <v>45</v>
      </c>
      <c r="M37" s="16"/>
      <c r="N37" s="48"/>
      <c r="O37" s="66" t="s">
        <v>44</v>
      </c>
      <c r="P37" s="52">
        <f t="shared" si="0"/>
        <v>1.377</v>
      </c>
      <c r="Q37" s="53">
        <f>+P37+0.04</f>
        <v>1.417</v>
      </c>
      <c r="R37" s="69"/>
      <c r="S37" s="45">
        <f>+(P37-($S$17/10000))-0</f>
        <v>1.347</v>
      </c>
      <c r="T37" s="45">
        <f>+(P37+($T$17/10000))-0</f>
        <v>1.407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922.89600000000007</v>
      </c>
      <c r="C39" s="8">
        <f>+C23*K39</f>
        <v>1000.9230000000001</v>
      </c>
      <c r="D39" s="8"/>
      <c r="E39" s="8"/>
      <c r="F39" s="66" t="s">
        <v>47</v>
      </c>
      <c r="G39" s="52">
        <f>[1]POPULATE!G16</f>
        <v>0.66090000000000004</v>
      </c>
      <c r="H39" s="53">
        <f>+G39+0.04</f>
        <v>0.70090000000000008</v>
      </c>
      <c r="I39" s="67"/>
      <c r="J39" s="45">
        <f>+(G39-($J$17/10000))+0</f>
        <v>0.64090000000000003</v>
      </c>
      <c r="K39" s="45">
        <f>+(G39+($K$17/10000))-0</f>
        <v>0.68090000000000006</v>
      </c>
      <c r="L39" s="8" t="s">
        <v>48</v>
      </c>
      <c r="M39" s="8"/>
      <c r="N39" s="48"/>
      <c r="O39" s="66" t="s">
        <v>47</v>
      </c>
      <c r="P39" s="52">
        <f t="shared" si="0"/>
        <v>0.66090000000000004</v>
      </c>
      <c r="Q39" s="53">
        <f>+P39+0.04</f>
        <v>0.70090000000000008</v>
      </c>
      <c r="R39" s="67"/>
      <c r="S39" s="45">
        <f>+(P39-($S$17/10000))+0</f>
        <v>0.63090000000000002</v>
      </c>
      <c r="T39" s="45">
        <f>+(P39+($T$17/10000))-0</f>
        <v>0.69090000000000007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204.08452500744059</v>
      </c>
      <c r="C41" s="8">
        <f>+C23/J41</f>
        <v>209.524081015978</v>
      </c>
      <c r="D41" s="8"/>
      <c r="E41" s="8"/>
      <c r="F41" s="66" t="s">
        <v>50</v>
      </c>
      <c r="G41" s="52">
        <f>[1]POPULATE!G17</f>
        <v>7.0358999999999998</v>
      </c>
      <c r="H41" s="53">
        <f>+G41+0.04</f>
        <v>7.0758999999999999</v>
      </c>
      <c r="I41" s="67"/>
      <c r="J41" s="23">
        <f>+(G41-($J$17/10000))+0</f>
        <v>7.0159000000000002</v>
      </c>
      <c r="K41" s="23">
        <f>+(G41+($K$17/10000))-0</f>
        <v>7.0558999999999994</v>
      </c>
      <c r="L41" s="8" t="s">
        <v>51</v>
      </c>
      <c r="M41" s="8"/>
      <c r="N41" s="48"/>
      <c r="O41" s="66" t="s">
        <v>50</v>
      </c>
      <c r="P41" s="52">
        <f t="shared" si="0"/>
        <v>7.0358999999999998</v>
      </c>
      <c r="Q41" s="53">
        <f>+P41+0.04</f>
        <v>7.0758999999999999</v>
      </c>
      <c r="R41" s="67"/>
      <c r="S41" s="23">
        <f>+(P41-($S$17/10000))+0</f>
        <v>7.0058999999999996</v>
      </c>
      <c r="T41" s="23">
        <f>+(P41+($T$17/10000))-0</f>
        <v>7.0659000000000001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1458.5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10" priority="1" operator="notBetween">
      <formula>$K$56*0.98</formula>
      <formula>$K$56*1.02</formula>
    </cfRule>
  </conditionalFormatting>
  <conditionalFormatting sqref="C23">
    <cfRule type="cellIs" dxfId="109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7" priority="22" operator="lessThan">
      <formula>0.6</formula>
    </cfRule>
    <cfRule type="cellIs" dxfId="108" priority="23" operator="greaterThan">
      <formula>0.7</formula>
    </cfRule>
  </conditionalFormatting>
  <conditionalFormatting sqref="G41">
    <cfRule type="cellIs" dxfId="106" priority="20" operator="lessThan">
      <formula>6.5</formula>
    </cfRule>
    <cfRule type="cellIs" dxfId="105" priority="21" operator="greaterThan">
      <formula>7.5</formula>
    </cfRule>
  </conditionalFormatting>
  <conditionalFormatting sqref="J25">
    <cfRule type="cellIs" dxfId="104" priority="36" operator="lessThan">
      <formula>1</formula>
    </cfRule>
    <cfRule type="cellIs" dxfId="103" priority="37" operator="greaterThan">
      <formula>1.2</formula>
    </cfRule>
  </conditionalFormatting>
  <conditionalFormatting sqref="J27">
    <cfRule type="cellIs" dxfId="102" priority="35" operator="lessThan">
      <formula>140</formula>
    </cfRule>
  </conditionalFormatting>
  <conditionalFormatting sqref="J29">
    <cfRule type="cellIs" dxfId="101" priority="33" operator="lessThan">
      <formula>1.05</formula>
    </cfRule>
    <cfRule type="cellIs" dxfId="100" priority="34" operator="greaterThan">
      <formula>1.4</formula>
    </cfRule>
  </conditionalFormatting>
  <conditionalFormatting sqref="J31">
    <cfRule type="cellIs" dxfId="99" priority="31" operator="lessThan">
      <formula>0.75</formula>
    </cfRule>
    <cfRule type="cellIs" dxfId="98" priority="32" operator="greaterThan">
      <formula>1</formula>
    </cfRule>
  </conditionalFormatting>
  <conditionalFormatting sqref="J33">
    <cfRule type="cellIs" dxfId="97" priority="29" operator="lessThan">
      <formula>16</formula>
    </cfRule>
    <cfRule type="cellIs" dxfId="96" priority="30" operator="greaterThan">
      <formula>20</formula>
    </cfRule>
  </conditionalFormatting>
  <conditionalFormatting sqref="J35">
    <cfRule type="cellIs" dxfId="95" priority="27" operator="lessThan">
      <formula>6</formula>
    </cfRule>
    <cfRule type="cellIs" dxfId="94" priority="28" operator="greaterThan">
      <formula>7.5</formula>
    </cfRule>
  </conditionalFormatting>
  <conditionalFormatting sqref="J37">
    <cfRule type="cellIs" dxfId="93" priority="25" operator="lessThan">
      <formula>1.1</formula>
    </cfRule>
    <cfRule type="cellIs" dxfId="92" priority="26" operator="greaterThan">
      <formula>1.5</formula>
    </cfRule>
  </conditionalFormatting>
  <conditionalFormatting sqref="J39">
    <cfRule type="cellIs" dxfId="91" priority="24" operator="greaterThan">
      <formula>0.69</formula>
    </cfRule>
  </conditionalFormatting>
  <conditionalFormatting sqref="P44">
    <cfRule type="cellIs" dxfId="89" priority="3" operator="lessThan">
      <formula>0.82</formula>
    </cfRule>
    <cfRule type="cellIs" dxfId="90" priority="4" operator="greaterThan">
      <formula>0.88</formula>
    </cfRule>
  </conditionalFormatting>
  <conditionalFormatting sqref="S25">
    <cfRule type="cellIs" dxfId="88" priority="18" operator="lessThan">
      <formula>0.9</formula>
    </cfRule>
    <cfRule type="cellIs" dxfId="87" priority="19" operator="greaterThan">
      <formula>1.2</formula>
    </cfRule>
  </conditionalFormatting>
  <conditionalFormatting sqref="S27">
    <cfRule type="cellIs" dxfId="86" priority="16" operator="lessThan">
      <formula>139</formula>
    </cfRule>
    <cfRule type="cellIs" dxfId="85" priority="17" operator="greaterThan">
      <formula>160</formula>
    </cfRule>
  </conditionalFormatting>
  <conditionalFormatting sqref="S29">
    <cfRule type="cellIs" dxfId="84" priority="14" operator="lessThan">
      <formula>1.05</formula>
    </cfRule>
    <cfRule type="cellIs" dxfId="83" priority="15" operator="greaterThan">
      <formula>1.4</formula>
    </cfRule>
  </conditionalFormatting>
  <conditionalFormatting sqref="S31">
    <cfRule type="cellIs" dxfId="82" priority="12" operator="lessThan">
      <formula>0.75</formula>
    </cfRule>
    <cfRule type="cellIs" dxfId="81" priority="13" operator="greaterThan">
      <formula>1</formula>
    </cfRule>
  </conditionalFormatting>
  <conditionalFormatting sqref="S33">
    <cfRule type="cellIs" dxfId="80" priority="10" operator="lessThan">
      <formula>16</formula>
    </cfRule>
    <cfRule type="cellIs" dxfId="79" priority="11" operator="greaterThan">
      <formula>20</formula>
    </cfRule>
  </conditionalFormatting>
  <conditionalFormatting sqref="S35">
    <cfRule type="cellIs" dxfId="78" priority="8" operator="lessThan">
      <formula>6</formula>
    </cfRule>
    <cfRule type="cellIs" dxfId="77" priority="9" operator="greaterThan">
      <formula>7.5</formula>
    </cfRule>
  </conditionalFormatting>
  <conditionalFormatting sqref="S37">
    <cfRule type="cellIs" dxfId="76" priority="6" operator="lessThan">
      <formula>1.1</formula>
    </cfRule>
    <cfRule type="cellIs" dxfId="75" priority="7" operator="greaterThan">
      <formula>1.5</formula>
    </cfRule>
  </conditionalFormatting>
  <conditionalFormatting sqref="S39">
    <cfRule type="cellIs" dxfId="74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23B1-47F9-41BD-AE62-F555C168D70B}">
  <dimension ref="B3:AB43"/>
  <sheetViews>
    <sheetView workbookViewId="0">
      <selection sqref="A1:XFD1048576"/>
    </sheetView>
  </sheetViews>
  <sheetFormatPr defaultColWidth="9.1796875" defaultRowHeight="14.5" x14ac:dyDescent="0.35"/>
  <cols>
    <col min="1" max="1" width="9.1796875" style="110"/>
    <col min="2" max="2" width="6.90625" style="110" customWidth="1"/>
    <col min="3" max="3" width="19.453125" style="110" customWidth="1"/>
    <col min="4" max="4" width="15.36328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90625" style="110" hidden="1" customWidth="1"/>
    <col min="9" max="9" width="11" style="110" hidden="1" customWidth="1"/>
    <col min="10" max="10" width="9.36328125" style="110" hidden="1" customWidth="1"/>
    <col min="11" max="11" width="6.5429687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90625" style="110" customWidth="1"/>
    <col min="16" max="16384" width="9.179687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1470</v>
      </c>
      <c r="D6" s="119">
        <f>[1]POPULATE!D6</f>
        <v>1470</v>
      </c>
      <c r="E6" s="120"/>
      <c r="F6" s="121"/>
      <c r="G6" s="121"/>
      <c r="H6" s="122">
        <f>D6</f>
        <v>1470</v>
      </c>
      <c r="I6" s="122">
        <v>510</v>
      </c>
      <c r="J6" s="123">
        <f>(I6-[1]POPULATE!D6)/I6</f>
        <v>-1.8823529411764706</v>
      </c>
      <c r="K6" s="124"/>
    </row>
    <row r="7" spans="2:13" ht="15.5" x14ac:dyDescent="0.35">
      <c r="B7" s="117" t="s">
        <v>64</v>
      </c>
      <c r="C7" s="125">
        <f>H7</f>
        <v>0.83236224404860992</v>
      </c>
      <c r="D7" s="119">
        <f>[1]POPULATE!D7</f>
        <v>1.1744000000000001</v>
      </c>
      <c r="E7" s="126"/>
      <c r="F7" s="127">
        <v>2.7E-2</v>
      </c>
      <c r="G7" s="128">
        <f>+[1]POPULATE!D7+F7</f>
        <v>1.2014</v>
      </c>
      <c r="H7" s="129">
        <f>1/G7</f>
        <v>0.83236224404860992</v>
      </c>
      <c r="I7" s="129">
        <v>1.1924999999999999</v>
      </c>
      <c r="J7" s="123">
        <f>(I7-[1]POPULATE!D7)/I7</f>
        <v>1.5178197064989338E-2</v>
      </c>
      <c r="K7" s="124"/>
      <c r="M7" s="130"/>
    </row>
    <row r="8" spans="2:13" ht="15.5" x14ac:dyDescent="0.35">
      <c r="B8" s="117" t="s">
        <v>65</v>
      </c>
      <c r="C8" s="118">
        <f>H8</f>
        <v>153.91</v>
      </c>
      <c r="D8" s="119">
        <f>[1]POPULATE!D8</f>
        <v>155.91</v>
      </c>
      <c r="E8" s="126"/>
      <c r="F8" s="127">
        <v>2</v>
      </c>
      <c r="G8" s="128">
        <f>+[1]POPULATE!D8-F8</f>
        <v>153.91</v>
      </c>
      <c r="H8" s="131">
        <f>G8</f>
        <v>153.91</v>
      </c>
      <c r="I8" s="131">
        <v>104.06</v>
      </c>
      <c r="J8" s="123">
        <f>(I8-[1]POPULATE!D8)/I8</f>
        <v>-0.49827022871420329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0.73583517292126566</v>
      </c>
      <c r="D9" s="119">
        <f>[1]POPULATE!D9</f>
        <v>1.337</v>
      </c>
      <c r="E9" s="126"/>
      <c r="F9" s="127">
        <v>2.1999999999999999E-2</v>
      </c>
      <c r="G9" s="128">
        <f>[1]POPULATE!D9+F9</f>
        <v>1.359</v>
      </c>
      <c r="H9" s="131">
        <f>1/G9</f>
        <v>0.73583517292126566</v>
      </c>
      <c r="I9" s="131">
        <v>1.3365</v>
      </c>
      <c r="J9" s="123">
        <f>(I9-[1]POPULATE!D9)/I9</f>
        <v>-3.7411148522255511E-4</v>
      </c>
      <c r="K9" s="124"/>
    </row>
    <row r="10" spans="2:13" ht="15.5" x14ac:dyDescent="0.35">
      <c r="B10" s="117" t="s">
        <v>67</v>
      </c>
      <c r="C10" s="125">
        <f t="shared" si="0"/>
        <v>0.77010000000000001</v>
      </c>
      <c r="D10" s="119">
        <f>[1]POPULATE!D10</f>
        <v>0.79510000000000003</v>
      </c>
      <c r="E10" s="126"/>
      <c r="F10" s="127">
        <v>2.5000000000000001E-2</v>
      </c>
      <c r="G10" s="128">
        <f>[1]POPULATE!D10-F10</f>
        <v>0.77010000000000001</v>
      </c>
      <c r="H10" s="131">
        <f t="shared" ref="H10:H43" si="1">G10</f>
        <v>0.77010000000000001</v>
      </c>
      <c r="I10" s="131">
        <v>0.90620000000000001</v>
      </c>
      <c r="J10" s="123">
        <f>(I10-[1]POPULATE!D10)/I10</f>
        <v>0.12259986757890087</v>
      </c>
      <c r="K10" s="124"/>
    </row>
    <row r="11" spans="2:13" ht="15.5" x14ac:dyDescent="0.35">
      <c r="B11" s="117" t="s">
        <v>68</v>
      </c>
      <c r="C11" s="125">
        <f>H11</f>
        <v>16.561900000000001</v>
      </c>
      <c r="D11" s="119">
        <f>[1]POPULATE!D11</f>
        <v>16.741900000000001</v>
      </c>
      <c r="E11" s="126"/>
      <c r="F11" s="127">
        <v>0.18</v>
      </c>
      <c r="G11" s="128">
        <f>[1]POPULATE!D11-F11</f>
        <v>16.561900000000001</v>
      </c>
      <c r="H11" s="131">
        <f t="shared" si="1"/>
        <v>16.561900000000001</v>
      </c>
      <c r="I11" s="131">
        <v>15.200200000000001</v>
      </c>
      <c r="J11" s="123">
        <f>(I11-[1]POPULATE!D11)/I11</f>
        <v>-0.10142629702240763</v>
      </c>
      <c r="K11" s="124"/>
    </row>
    <row r="12" spans="2:13" ht="15.5" x14ac:dyDescent="0.35">
      <c r="B12" s="117" t="s">
        <v>69</v>
      </c>
      <c r="C12" s="125">
        <f t="shared" si="0"/>
        <v>6.2674000000000003</v>
      </c>
      <c r="D12" s="119">
        <f>[1]POPULATE!D12</f>
        <v>6.3624000000000001</v>
      </c>
      <c r="E12" s="133"/>
      <c r="F12" s="127">
        <v>9.5000000000000001E-2</v>
      </c>
      <c r="G12" s="128">
        <f>[1]POPULATE!D12-F12</f>
        <v>6.2674000000000003</v>
      </c>
      <c r="H12" s="131">
        <f t="shared" si="1"/>
        <v>6.2674000000000003</v>
      </c>
      <c r="I12" s="131">
        <v>6.2423999999999999</v>
      </c>
      <c r="J12" s="123">
        <f>(I12-[1]POPULATE!D12)/I12</f>
        <v>-1.9223375624759724E-2</v>
      </c>
      <c r="K12" s="134"/>
    </row>
    <row r="13" spans="2:13" ht="15.5" x14ac:dyDescent="0.35">
      <c r="B13" s="117" t="s">
        <v>70</v>
      </c>
      <c r="C13" s="135">
        <f>H13</f>
        <v>1.3501000000000001</v>
      </c>
      <c r="D13" s="119">
        <f>[1]POPULATE!D13</f>
        <v>1.3771</v>
      </c>
      <c r="E13" s="133"/>
      <c r="F13" s="133">
        <v>2.7E-2</v>
      </c>
      <c r="G13" s="135">
        <f>[1]POPULATE!D13-F13</f>
        <v>1.3501000000000001</v>
      </c>
      <c r="H13" s="131">
        <f t="shared" si="1"/>
        <v>1.3501000000000001</v>
      </c>
      <c r="I13" s="131">
        <v>1.3007</v>
      </c>
      <c r="J13" s="136">
        <f>(I13-[1]POPULATE!D13)/I13</f>
        <v>-5.8737602829245811E-2</v>
      </c>
      <c r="K13" s="124"/>
    </row>
    <row r="14" spans="2:13" ht="15.5" x14ac:dyDescent="0.35">
      <c r="B14" s="117" t="s">
        <v>71</v>
      </c>
      <c r="C14" s="125">
        <f t="shared" si="0"/>
        <v>1.4684287812041115</v>
      </c>
      <c r="D14" s="119">
        <f>[1]POPULATE!D14</f>
        <v>0.66100000000000003</v>
      </c>
      <c r="E14" s="126"/>
      <c r="F14" s="127">
        <v>0.02</v>
      </c>
      <c r="G14" s="128">
        <f>[1]POPULATE!D14+F14</f>
        <v>0.68100000000000005</v>
      </c>
      <c r="H14" s="131">
        <f>1/G14</f>
        <v>1.4684287812041115</v>
      </c>
      <c r="I14" s="131">
        <v>0.73750000000000004</v>
      </c>
      <c r="J14" s="123">
        <f>(I14-[1]POPULATE!D14)/I14</f>
        <v>0.10372881355932205</v>
      </c>
      <c r="K14" s="124"/>
    </row>
    <row r="15" spans="2:13" ht="15.5" x14ac:dyDescent="0.35">
      <c r="B15" s="117" t="s">
        <v>72</v>
      </c>
      <c r="C15" s="125">
        <f t="shared" si="0"/>
        <v>6.9362000000000004</v>
      </c>
      <c r="D15" s="119">
        <f>[1]POPULATE!D15</f>
        <v>7.0362</v>
      </c>
      <c r="E15" s="133"/>
      <c r="F15" s="127">
        <v>0.1</v>
      </c>
      <c r="G15" s="128">
        <f>[1]POPULATE!D15-F15</f>
        <v>6.9362000000000004</v>
      </c>
      <c r="H15" s="131">
        <f t="shared" si="1"/>
        <v>6.9362000000000004</v>
      </c>
      <c r="I15" s="131">
        <v>6.5747999999999998</v>
      </c>
      <c r="J15" s="123">
        <f>(I15-[1]POPULATE!D15)/I15</f>
        <v>-7.0177039605767516E-2</v>
      </c>
      <c r="K15" s="124"/>
    </row>
    <row r="16" spans="2:13" ht="15.5" x14ac:dyDescent="0.35">
      <c r="B16" s="117" t="s">
        <v>73</v>
      </c>
      <c r="C16" s="125">
        <f t="shared" si="0"/>
        <v>6.9114000000000004</v>
      </c>
      <c r="D16" s="119">
        <f>[1]POPULATE!D16</f>
        <v>7.0414000000000003</v>
      </c>
      <c r="E16" s="133"/>
      <c r="F16" s="127">
        <v>0.13</v>
      </c>
      <c r="G16" s="128">
        <f>[1]POPULATE!D16-F16</f>
        <v>6.9114000000000004</v>
      </c>
      <c r="H16" s="131">
        <f t="shared" si="1"/>
        <v>6.9114000000000004</v>
      </c>
      <c r="I16" s="131">
        <v>6.5807000000000002</v>
      </c>
      <c r="J16" s="123">
        <f>(I16-[1]POPULATE!D16)/I16</f>
        <v>-7.0007749935417224E-2</v>
      </c>
      <c r="K16" s="124"/>
    </row>
    <row r="17" spans="2:28" ht="15.5" x14ac:dyDescent="0.35">
      <c r="B17" s="117" t="s">
        <v>74</v>
      </c>
      <c r="C17" s="125">
        <f t="shared" si="0"/>
        <v>11.327500000000001</v>
      </c>
      <c r="D17" s="119">
        <f>[1]POPULATE!D17</f>
        <v>11.5275</v>
      </c>
      <c r="E17" s="126"/>
      <c r="F17" s="127">
        <v>0.2</v>
      </c>
      <c r="G17" s="128">
        <f>[1]POPULATE!D17-F17</f>
        <v>11.327500000000001</v>
      </c>
      <c r="H17" s="131">
        <f t="shared" si="1"/>
        <v>11.327500000000001</v>
      </c>
      <c r="I17" s="131">
        <v>5.8</v>
      </c>
      <c r="J17" s="123">
        <f>(I17-[1]POPULATE!D17)/I17</f>
        <v>-0.98750000000000004</v>
      </c>
      <c r="K17" s="124"/>
    </row>
    <row r="18" spans="2:28" ht="15.5" x14ac:dyDescent="0.35">
      <c r="B18" s="117" t="s">
        <v>75</v>
      </c>
      <c r="C18" s="125">
        <f>H18</f>
        <v>42.586400000000005</v>
      </c>
      <c r="D18" s="119">
        <f>[1]POPULATE!D18</f>
        <v>42.736400000000003</v>
      </c>
      <c r="E18" s="126"/>
      <c r="F18" s="127">
        <v>0.15</v>
      </c>
      <c r="G18" s="128">
        <f>[1]POPULATE!D18-F18</f>
        <v>42.586400000000005</v>
      </c>
      <c r="H18" s="131">
        <f t="shared" si="1"/>
        <v>42.586400000000005</v>
      </c>
      <c r="I18" s="131">
        <v>6.9397000000000002</v>
      </c>
      <c r="J18" s="123">
        <f>(I18-[1]POPULATE!D18)/I18</f>
        <v>-5.1582489156591782</v>
      </c>
      <c r="K18" s="124"/>
    </row>
    <row r="19" spans="2:28" ht="15.5" x14ac:dyDescent="0.35">
      <c r="B19" s="117" t="s">
        <v>76</v>
      </c>
      <c r="C19" s="125">
        <f t="shared" si="0"/>
        <v>3.4963000000000002</v>
      </c>
      <c r="D19" s="119">
        <f>[1]POPULATE!D19</f>
        <v>3.5863</v>
      </c>
      <c r="E19" s="133"/>
      <c r="F19" s="127">
        <v>0.09</v>
      </c>
      <c r="G19" s="128">
        <f>[1]POPULATE!D19-F19</f>
        <v>3.4963000000000002</v>
      </c>
      <c r="H19" s="131">
        <f t="shared" si="1"/>
        <v>3.4963000000000002</v>
      </c>
      <c r="I19" s="131">
        <v>3.7557999999999998</v>
      </c>
      <c r="J19" s="123">
        <f>(I19-[1]POPULATE!D19)/I19</f>
        <v>4.5130198626124864E-2</v>
      </c>
      <c r="K19" s="124"/>
    </row>
    <row r="20" spans="2:28" ht="15.5" x14ac:dyDescent="0.35">
      <c r="B20" s="117" t="s">
        <v>77</v>
      </c>
      <c r="C20" s="125">
        <f>H20</f>
        <v>9.1471999999999998</v>
      </c>
      <c r="D20" s="119">
        <f>[1]POPULATE!D20</f>
        <v>9.2872000000000003</v>
      </c>
      <c r="E20" s="133"/>
      <c r="F20" s="127">
        <v>0.14000000000000001</v>
      </c>
      <c r="G20" s="128">
        <f>[1]POPULATE!D20-F20</f>
        <v>9.1471999999999998</v>
      </c>
      <c r="H20" s="131">
        <f t="shared" si="1"/>
        <v>9.1471999999999998</v>
      </c>
      <c r="I20" s="131">
        <v>8.5128000000000004</v>
      </c>
      <c r="J20" s="123">
        <f>(I20-[1]POPULATE!D20)/I20</f>
        <v>-9.0968893900949158E-2</v>
      </c>
      <c r="K20" s="124"/>
    </row>
    <row r="21" spans="2:28" ht="15.5" x14ac:dyDescent="0.35">
      <c r="B21" s="117" t="s">
        <v>78</v>
      </c>
      <c r="C21" s="118">
        <f t="shared" si="0"/>
        <v>126.45000000000002</v>
      </c>
      <c r="D21" s="119">
        <f>[1]POPULATE!D21</f>
        <v>129.05000000000001</v>
      </c>
      <c r="E21" s="133"/>
      <c r="F21" s="127">
        <v>2.6</v>
      </c>
      <c r="G21" s="128">
        <f>[1]POPULATE!D21-F21</f>
        <v>126.45000000000002</v>
      </c>
      <c r="H21" s="131">
        <f t="shared" si="1"/>
        <v>126.45000000000002</v>
      </c>
      <c r="I21" s="131">
        <v>109.9</v>
      </c>
      <c r="J21" s="123">
        <f>(I21-[1]POPULATE!D21)/I21</f>
        <v>-0.17424931756141951</v>
      </c>
      <c r="K21" s="124"/>
    </row>
    <row r="22" spans="2:28" ht="15.5" x14ac:dyDescent="0.35">
      <c r="B22" s="117" t="s">
        <v>79</v>
      </c>
      <c r="C22" s="118">
        <f t="shared" si="0"/>
        <v>558.56079999999997</v>
      </c>
      <c r="D22" s="119">
        <f>[1]POPULATE!D22</f>
        <v>558.56079999999997</v>
      </c>
      <c r="E22" s="137"/>
      <c r="F22" s="138">
        <v>0</v>
      </c>
      <c r="G22" s="139">
        <f>[1]POPULATE!D22-F22</f>
        <v>558.56079999999997</v>
      </c>
      <c r="H22" s="129">
        <f t="shared" si="1"/>
        <v>558.56079999999997</v>
      </c>
      <c r="I22" s="129">
        <v>470</v>
      </c>
      <c r="J22" s="123">
        <f>(I22-[1]POPULATE!D22)/I22</f>
        <v>-0.18842723404255313</v>
      </c>
      <c r="K22" s="124"/>
    </row>
    <row r="23" spans="2:28" ht="15.5" x14ac:dyDescent="0.35">
      <c r="B23" s="117" t="s">
        <v>80</v>
      </c>
      <c r="C23" s="118">
        <f t="shared" si="0"/>
        <v>88.13</v>
      </c>
      <c r="D23" s="119">
        <f>[1]POPULATE!D23</f>
        <v>90.13</v>
      </c>
      <c r="E23" s="133"/>
      <c r="F23" s="127">
        <v>2</v>
      </c>
      <c r="G23" s="128">
        <f>[1]POPULATE!D23-F23</f>
        <v>88.13</v>
      </c>
      <c r="H23" s="131">
        <f t="shared" si="1"/>
        <v>88.13</v>
      </c>
      <c r="I23" s="131">
        <v>73.930000000000007</v>
      </c>
      <c r="J23" s="123">
        <f>(I23-[1]POPULATE!D23)/I23</f>
        <v>-0.21912620045989431</v>
      </c>
      <c r="K23" s="124"/>
      <c r="AB23" s="140"/>
    </row>
    <row r="24" spans="2:28" ht="15.5" x14ac:dyDescent="0.35">
      <c r="B24" s="141" t="s">
        <v>81</v>
      </c>
      <c r="C24" s="118">
        <f t="shared" si="0"/>
        <v>100.46740000000001</v>
      </c>
      <c r="D24" s="119">
        <f>[1]POPULATE!D24</f>
        <v>102.06740000000001</v>
      </c>
      <c r="E24" s="133"/>
      <c r="F24" s="127">
        <v>1.6</v>
      </c>
      <c r="G24" s="128">
        <f>[1]POPULATE!D24-F24</f>
        <v>100.46740000000001</v>
      </c>
      <c r="H24" s="131">
        <f t="shared" si="1"/>
        <v>100.46740000000001</v>
      </c>
      <c r="I24" s="131">
        <v>99.93</v>
      </c>
      <c r="J24" s="123">
        <f>(I24-[1]POPULATE!D24)/I24</f>
        <v>-2.138897228059641E-2</v>
      </c>
      <c r="K24" s="124"/>
    </row>
    <row r="25" spans="2:28" ht="15.5" x14ac:dyDescent="0.35">
      <c r="B25" s="117" t="s">
        <v>82</v>
      </c>
      <c r="C25" s="125">
        <f t="shared" si="0"/>
        <v>3.5979999999999999</v>
      </c>
      <c r="D25" s="119">
        <f>[1]POPULATE!D25</f>
        <v>3.673</v>
      </c>
      <c r="E25" s="126"/>
      <c r="F25" s="127">
        <v>7.4999999999999997E-2</v>
      </c>
      <c r="G25" s="128">
        <f>[1]POPULATE!D25-F25</f>
        <v>3.5979999999999999</v>
      </c>
      <c r="H25" s="131">
        <f t="shared" si="1"/>
        <v>3.5979999999999999</v>
      </c>
      <c r="I25" s="131">
        <v>3.6728000000000001</v>
      </c>
      <c r="J25" s="123">
        <f>(I25-[1]POPULATE!D25)/I25</f>
        <v>-5.4454367240246667E-5</v>
      </c>
      <c r="K25" s="124"/>
    </row>
    <row r="26" spans="2:28" ht="15.5" x14ac:dyDescent="0.35">
      <c r="B26" s="117" t="s">
        <v>83</v>
      </c>
      <c r="C26" s="125">
        <f t="shared" si="0"/>
        <v>1.2612999999999999</v>
      </c>
      <c r="D26" s="119">
        <f>[1]POPULATE!D26</f>
        <v>1.2912999999999999</v>
      </c>
      <c r="E26" s="126"/>
      <c r="F26" s="127">
        <v>0.03</v>
      </c>
      <c r="G26" s="128">
        <f>[1]POPULATE!D26-F26</f>
        <v>1.2612999999999999</v>
      </c>
      <c r="H26" s="131">
        <f t="shared" si="1"/>
        <v>1.2612999999999999</v>
      </c>
      <c r="I26" s="131">
        <v>1.3382000000000001</v>
      </c>
      <c r="J26" s="123">
        <f>(I26-[1]POPULATE!D26)/I26</f>
        <v>3.5047078164698972E-2</v>
      </c>
      <c r="K26" s="124"/>
    </row>
    <row r="27" spans="2:28" ht="15.5" x14ac:dyDescent="0.35">
      <c r="B27" s="117" t="s">
        <v>84</v>
      </c>
      <c r="C27" s="118">
        <f>H27</f>
        <v>3534.49</v>
      </c>
      <c r="D27" s="119">
        <f>[1]POPULATE!D27</f>
        <v>3570.49</v>
      </c>
      <c r="E27" s="133"/>
      <c r="F27" s="127">
        <v>36</v>
      </c>
      <c r="G27" s="128">
        <f>[1]POPULATE!D27-F27</f>
        <v>3534.49</v>
      </c>
      <c r="H27" s="131">
        <f t="shared" si="1"/>
        <v>3534.49</v>
      </c>
      <c r="I27" s="131">
        <v>3692</v>
      </c>
      <c r="J27" s="123">
        <f>(I27-[1]POPULATE!D27)/I27</f>
        <v>3.2911700975081316E-2</v>
      </c>
      <c r="K27" s="124"/>
    </row>
    <row r="28" spans="2:28" ht="15.5" x14ac:dyDescent="0.35">
      <c r="B28" s="117" t="s">
        <v>85</v>
      </c>
      <c r="C28" s="118">
        <f t="shared" si="0"/>
        <v>305.31</v>
      </c>
      <c r="D28" s="119">
        <f>[1]POPULATE!D28</f>
        <v>309.31</v>
      </c>
      <c r="E28" s="133"/>
      <c r="F28" s="127">
        <v>4</v>
      </c>
      <c r="G28" s="128">
        <f>[1]POPULATE!D28-F28</f>
        <v>305.31</v>
      </c>
      <c r="H28" s="131">
        <f t="shared" si="1"/>
        <v>305.31</v>
      </c>
      <c r="I28" s="131">
        <v>184.8</v>
      </c>
      <c r="J28" s="123">
        <f>(I28-[1]POPULATE!D28)/I28</f>
        <v>-0.67375541125541116</v>
      </c>
      <c r="K28" s="124"/>
    </row>
    <row r="29" spans="2:28" ht="15.5" x14ac:dyDescent="0.35">
      <c r="B29" s="117" t="s">
        <v>86</v>
      </c>
      <c r="C29" s="125">
        <f t="shared" si="0"/>
        <v>3.1385999999999998</v>
      </c>
      <c r="D29" s="119">
        <f>[1]POPULATE!D29</f>
        <v>3.2336</v>
      </c>
      <c r="E29" s="133"/>
      <c r="F29" s="127">
        <v>9.5000000000000001E-2</v>
      </c>
      <c r="G29" s="128">
        <f>[1]POPULATE!D29-F29</f>
        <v>3.1385999999999998</v>
      </c>
      <c r="H29" s="131">
        <f t="shared" si="1"/>
        <v>3.1385999999999998</v>
      </c>
      <c r="I29" s="131">
        <v>3.3174000000000001</v>
      </c>
      <c r="J29" s="123">
        <f>(I29-[1]POPULATE!D29)/I29</f>
        <v>2.5260746367637334E-2</v>
      </c>
      <c r="K29" s="124"/>
    </row>
    <row r="30" spans="2:28" ht="15.5" x14ac:dyDescent="0.35">
      <c r="B30" s="117" t="s">
        <v>87</v>
      </c>
      <c r="C30" s="118">
        <f t="shared" si="0"/>
        <v>2390</v>
      </c>
      <c r="D30" s="119">
        <f>[1]POPULATE!D30</f>
        <v>2460</v>
      </c>
      <c r="E30" s="133"/>
      <c r="F30" s="127">
        <v>70</v>
      </c>
      <c r="G30" s="128">
        <f>[1]POPULATE!D30-F30</f>
        <v>2390</v>
      </c>
      <c r="H30" s="131">
        <f>G30</f>
        <v>2390</v>
      </c>
      <c r="I30" s="131">
        <v>2314</v>
      </c>
      <c r="J30" s="123">
        <f>(I30-[1]POPULATE!D30)/I30</f>
        <v>-6.3094209161624892E-2</v>
      </c>
      <c r="K30" s="124"/>
      <c r="L30" s="132"/>
    </row>
    <row r="31" spans="2:28" ht="15.5" x14ac:dyDescent="0.35">
      <c r="B31" s="117" t="s">
        <v>88</v>
      </c>
      <c r="C31" s="125">
        <f>H31</f>
        <v>14.079499999999999</v>
      </c>
      <c r="D31" s="119">
        <f>[1]POPULATE!D31</f>
        <v>14.204499999999999</v>
      </c>
      <c r="E31" s="133"/>
      <c r="F31" s="127">
        <v>0.125</v>
      </c>
      <c r="G31" s="128">
        <f>[1]POPULATE!D31-F31</f>
        <v>14.079499999999999</v>
      </c>
      <c r="H31" s="131">
        <f>G31</f>
        <v>14.079499999999999</v>
      </c>
      <c r="I31" s="131">
        <v>11.013199999999999</v>
      </c>
      <c r="J31" s="123">
        <f>(I31-[1]POPULATE!D31)/I31</f>
        <v>-0.28977045726945849</v>
      </c>
      <c r="K31" s="124"/>
      <c r="L31" s="132"/>
    </row>
    <row r="32" spans="2:28" ht="15.5" x14ac:dyDescent="0.35">
      <c r="B32" s="117" t="s">
        <v>89</v>
      </c>
      <c r="C32" s="125">
        <f>H32</f>
        <v>6.6773000000000007</v>
      </c>
      <c r="D32" s="119">
        <f>[1]POPULATE!D32</f>
        <v>6.7773000000000003</v>
      </c>
      <c r="E32" s="133"/>
      <c r="F32" s="127">
        <v>0.1</v>
      </c>
      <c r="G32" s="128">
        <f>[1]POPULATE!D32-F32</f>
        <v>6.6773000000000007</v>
      </c>
      <c r="H32" s="131">
        <f>G32</f>
        <v>6.6773000000000007</v>
      </c>
      <c r="I32" s="131">
        <v>6.7428999999999997</v>
      </c>
      <c r="J32" s="123">
        <f>(I32-[1]POPULATE!D32)/I32</f>
        <v>-5.1016624894334268E-3</v>
      </c>
      <c r="K32" s="124"/>
    </row>
    <row r="33" spans="2:22" ht="15.5" x14ac:dyDescent="0.35">
      <c r="B33" s="117" t="s">
        <v>90</v>
      </c>
      <c r="C33" s="125">
        <f t="shared" ref="C33:C43" si="2">H33</f>
        <v>45.38</v>
      </c>
      <c r="D33" s="119">
        <f>[1]POPULATE!D33</f>
        <v>46.18</v>
      </c>
      <c r="E33" s="133"/>
      <c r="F33" s="127">
        <v>0.8</v>
      </c>
      <c r="G33" s="128">
        <f>[1]POPULATE!D33-F33</f>
        <v>45.38</v>
      </c>
      <c r="H33" s="131">
        <f t="shared" si="1"/>
        <v>45.38</v>
      </c>
      <c r="I33" s="131">
        <v>39.700000000000003</v>
      </c>
      <c r="J33" s="123">
        <f>(I33-[1]POPULATE!D33)/I33</f>
        <v>-0.16322418136020142</v>
      </c>
      <c r="K33" s="124"/>
    </row>
    <row r="34" spans="2:22" ht="15.5" x14ac:dyDescent="0.35">
      <c r="B34" s="117" t="s">
        <v>91</v>
      </c>
      <c r="C34" s="118">
        <f t="shared" si="2"/>
        <v>548.07590000000005</v>
      </c>
      <c r="D34" s="119">
        <f>[1]POPULATE!D34</f>
        <v>558.57590000000005</v>
      </c>
      <c r="E34" s="133"/>
      <c r="F34" s="127">
        <v>10.5</v>
      </c>
      <c r="G34" s="128">
        <f>[1]POPULATE!D34-F34</f>
        <v>548.07590000000005</v>
      </c>
      <c r="H34" s="131">
        <f t="shared" si="1"/>
        <v>548.07590000000005</v>
      </c>
      <c r="I34" s="131">
        <v>550.59699999999998</v>
      </c>
      <c r="J34" s="123">
        <f>(I34-[1]POPULATE!D34)/I34</f>
        <v>-1.4491361195211865E-2</v>
      </c>
      <c r="K34" s="124"/>
    </row>
    <row r="35" spans="2:22" ht="15.5" x14ac:dyDescent="0.35">
      <c r="B35" s="117" t="s">
        <v>92</v>
      </c>
      <c r="C35" s="135">
        <f t="shared" si="2"/>
        <v>4.258</v>
      </c>
      <c r="D35" s="119">
        <f>[1]POPULATE!D35</f>
        <v>4.3380000000000001</v>
      </c>
      <c r="E35" s="133"/>
      <c r="F35" s="133">
        <v>0.08</v>
      </c>
      <c r="G35" s="135">
        <f>[1]POPULATE!D35-F35</f>
        <v>4.258</v>
      </c>
      <c r="H35" s="131">
        <f t="shared" si="1"/>
        <v>4.258</v>
      </c>
      <c r="I35" s="131">
        <v>4.0871000000000004</v>
      </c>
      <c r="J35" s="136">
        <f>(I35-[1]POPULATE!D35)/I35</f>
        <v>-6.1388270411783331E-2</v>
      </c>
      <c r="K35" s="124"/>
      <c r="U35" s="142"/>
    </row>
    <row r="36" spans="2:22" ht="15.5" x14ac:dyDescent="0.35">
      <c r="B36" s="117" t="s">
        <v>93</v>
      </c>
      <c r="C36" s="143">
        <f t="shared" si="2"/>
        <v>22622.699199999999</v>
      </c>
      <c r="D36" s="119">
        <f>[1]POPULATE!D36</f>
        <v>23222.699199999999</v>
      </c>
      <c r="E36" s="133"/>
      <c r="F36" s="127">
        <v>600</v>
      </c>
      <c r="G36" s="128">
        <f>[1]POPULATE!D36-F36</f>
        <v>22622.699199999999</v>
      </c>
      <c r="H36" s="131">
        <f t="shared" si="1"/>
        <v>22622.699199999999</v>
      </c>
      <c r="I36" s="131">
        <v>10040.459000000001</v>
      </c>
      <c r="J36" s="123">
        <f>(I36-[1]POPULATE!D36)/I36</f>
        <v>-1.3129121088986069</v>
      </c>
      <c r="K36" s="124"/>
      <c r="V36" s="142"/>
    </row>
    <row r="37" spans="2:22" ht="15.5" x14ac:dyDescent="0.35">
      <c r="B37" s="117" t="s">
        <v>94</v>
      </c>
      <c r="C37" s="118">
        <f t="shared" si="2"/>
        <v>41.2</v>
      </c>
      <c r="D37" s="119">
        <f>[1]POPULATE!D37</f>
        <v>42.5</v>
      </c>
      <c r="E37" s="133"/>
      <c r="F37" s="127">
        <v>1.3</v>
      </c>
      <c r="G37" s="128">
        <f>[1]POPULATE!D37-F37</f>
        <v>41.2</v>
      </c>
      <c r="H37" s="131">
        <f t="shared" si="1"/>
        <v>41.2</v>
      </c>
      <c r="I37" s="131">
        <v>28.459</v>
      </c>
      <c r="J37" s="123">
        <f>(I37-[1]POPULATE!D37)/I37</f>
        <v>-0.49337643627674904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57.047000000000004</v>
      </c>
      <c r="D40" s="119">
        <f>[1]POPULATE!D40</f>
        <v>58.557000000000002</v>
      </c>
      <c r="E40" s="133"/>
      <c r="F40" s="127">
        <v>1.51</v>
      </c>
      <c r="G40" s="128">
        <f>[1]POPULATE!D40-F40</f>
        <v>57.047000000000004</v>
      </c>
      <c r="H40" s="131">
        <f t="shared" si="1"/>
        <v>57.047000000000004</v>
      </c>
      <c r="I40" s="131">
        <v>48.14</v>
      </c>
      <c r="J40" s="123">
        <f>(I40-[1]POPULATE!D40)/I40</f>
        <v>-0.21638969671790614</v>
      </c>
      <c r="K40" s="124"/>
    </row>
    <row r="41" spans="2:22" ht="15.5" x14ac:dyDescent="0.35">
      <c r="B41" s="117" t="s">
        <v>98</v>
      </c>
      <c r="C41" s="118">
        <f>H41</f>
        <v>25937</v>
      </c>
      <c r="D41" s="119">
        <f>[1]POPULATE!D41</f>
        <v>26337</v>
      </c>
      <c r="E41" s="133"/>
      <c r="F41" s="127">
        <v>400</v>
      </c>
      <c r="G41" s="128">
        <f>[1]POPULATE!D41-F41</f>
        <v>25937</v>
      </c>
      <c r="H41" s="131">
        <f t="shared" si="1"/>
        <v>25937</v>
      </c>
      <c r="I41" s="131">
        <v>23160</v>
      </c>
      <c r="J41" s="123">
        <f>(I41-[1]POPULATE!D41)/I41</f>
        <v>-0.13717616580310882</v>
      </c>
      <c r="K41" s="124"/>
    </row>
    <row r="42" spans="2:22" ht="15.5" x14ac:dyDescent="0.35">
      <c r="B42" s="117" t="s">
        <v>99</v>
      </c>
      <c r="C42" s="125">
        <f t="shared" si="2"/>
        <v>7.6800000000000006</v>
      </c>
      <c r="D42" s="119">
        <f>[1]POPULATE!D42</f>
        <v>7.78</v>
      </c>
      <c r="E42" s="133"/>
      <c r="F42" s="127">
        <v>0.1</v>
      </c>
      <c r="G42" s="128">
        <f>[1]POPULATE!D42-F42</f>
        <v>7.6800000000000006</v>
      </c>
      <c r="H42" s="131">
        <f t="shared" si="1"/>
        <v>7.6800000000000006</v>
      </c>
      <c r="I42" s="131">
        <v>7.7507000000000001</v>
      </c>
      <c r="J42" s="123">
        <f>(I42-[1]POPULATE!D42)/I42</f>
        <v>-3.7803037145032197E-3</v>
      </c>
      <c r="K42" s="124"/>
    </row>
    <row r="43" spans="2:22" ht="15.5" x14ac:dyDescent="0.35">
      <c r="B43" s="117" t="s">
        <v>100</v>
      </c>
      <c r="C43" s="125">
        <f t="shared" si="2"/>
        <v>3.6760999999999999</v>
      </c>
      <c r="D43" s="119">
        <f>[1]POPULATE!D43</f>
        <v>3.7511000000000001</v>
      </c>
      <c r="E43" s="133"/>
      <c r="F43" s="127">
        <v>7.4999999999999997E-2</v>
      </c>
      <c r="G43" s="128">
        <f>[1]POPULATE!D43-F43</f>
        <v>3.6760999999999999</v>
      </c>
      <c r="H43" s="131">
        <f t="shared" si="1"/>
        <v>3.6760999999999999</v>
      </c>
      <c r="I43" s="131">
        <v>3.7504</v>
      </c>
      <c r="J43" s="123">
        <f>(I43-[1]POPULATE!D43)/I43</f>
        <v>-1.8664675767921955E-4</v>
      </c>
      <c r="K43" s="124"/>
    </row>
  </sheetData>
  <mergeCells count="1">
    <mergeCell ref="F4:G4"/>
  </mergeCells>
  <conditionalFormatting sqref="C6">
    <cfRule type="cellIs" dxfId="73" priority="1" operator="greaterThan">
      <formula>1500</formula>
    </cfRule>
  </conditionalFormatting>
  <conditionalFormatting sqref="C7">
    <cfRule type="cellIs" dxfId="71" priority="73" operator="lessThan">
      <formula>0.825</formula>
    </cfRule>
    <cfRule type="cellIs" dxfId="72" priority="74" operator="greaterThan">
      <formula>0.9</formula>
    </cfRule>
  </conditionalFormatting>
  <conditionalFormatting sqref="C8">
    <cfRule type="cellIs" dxfId="69" priority="71" operator="lessThan">
      <formula>140</formula>
    </cfRule>
    <cfRule type="cellIs" dxfId="70" priority="72" operator="greaterThan">
      <formula>161</formula>
    </cfRule>
  </conditionalFormatting>
  <conditionalFormatting sqref="C9">
    <cfRule type="cellIs" dxfId="67" priority="69" operator="lessThan">
      <formula>0.7</formula>
    </cfRule>
    <cfRule type="cellIs" dxfId="68" priority="70" operator="greaterThan">
      <formula>0.84</formula>
    </cfRule>
  </conditionalFormatting>
  <conditionalFormatting sqref="C10">
    <cfRule type="cellIs" dxfId="65" priority="67" operator="lessThan">
      <formula>0.75</formula>
    </cfRule>
    <cfRule type="cellIs" dxfId="66" priority="68" operator="greaterThan">
      <formula>0.87</formula>
    </cfRule>
  </conditionalFormatting>
  <conditionalFormatting sqref="C11">
    <cfRule type="cellIs" dxfId="64" priority="65" operator="lessThan">
      <formula>16</formula>
    </cfRule>
    <cfRule type="cellIs" dxfId="63" priority="66" operator="greaterThan">
      <formula>20</formula>
    </cfRule>
  </conditionalFormatting>
  <conditionalFormatting sqref="C12">
    <cfRule type="cellIs" dxfId="61" priority="63" operator="lessThan">
      <formula>6.1</formula>
    </cfRule>
    <cfRule type="cellIs" dxfId="62" priority="64" operator="greaterThan">
      <formula>8</formula>
    </cfRule>
  </conditionalFormatting>
  <conditionalFormatting sqref="C13">
    <cfRule type="cellIs" dxfId="59" priority="61" operator="lessThan">
      <formula>1.33</formula>
    </cfRule>
    <cfRule type="cellIs" dxfId="60" priority="62" operator="greaterThan">
      <formula>1.445</formula>
    </cfRule>
  </conditionalFormatting>
  <conditionalFormatting sqref="C14">
    <cfRule type="cellIs" dxfId="58" priority="59" operator="lessThan">
      <formula>1.4</formula>
    </cfRule>
    <cfRule type="cellIs" dxfId="57" priority="60" operator="greaterThan">
      <formula>1.585</formula>
    </cfRule>
  </conditionalFormatting>
  <conditionalFormatting sqref="C15">
    <cfRule type="cellIs" dxfId="56" priority="58" operator="lessThan">
      <formula>6.8</formula>
    </cfRule>
  </conditionalFormatting>
  <conditionalFormatting sqref="C15:C16">
    <cfRule type="cellIs" dxfId="55" priority="57" operator="greaterThan">
      <formula>7.3</formula>
    </cfRule>
  </conditionalFormatting>
  <conditionalFormatting sqref="C16">
    <cfRule type="cellIs" dxfId="54" priority="56" operator="lessThan">
      <formula>6.7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0" priority="52" operator="lessThan">
      <formula>28</formula>
    </cfRule>
    <cfRule type="cellIs" dxfId="51" priority="53" operator="greaterThan">
      <formula>45</formula>
    </cfRule>
  </conditionalFormatting>
  <conditionalFormatting sqref="C19">
    <cfRule type="cellIs" dxfId="48" priority="50" operator="lessThan">
      <formula>3.5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9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78</formula>
    </cfRule>
    <cfRule type="cellIs" dxfId="41" priority="43" operator="greaterThan">
      <formula>89</formula>
    </cfRule>
  </conditionalFormatting>
  <conditionalFormatting sqref="C24">
    <cfRule type="cellIs" dxfId="39" priority="40" operator="lessThan">
      <formula>100</formula>
    </cfRule>
    <cfRule type="cellIs" dxfId="38" priority="41" operator="greaterThan">
      <formula>115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2" priority="34" operator="lessThan">
      <formula>3400</formula>
    </cfRule>
    <cfRule type="cellIs" dxfId="33" priority="35" operator="greaterThan">
      <formula>39003</formula>
    </cfRule>
  </conditionalFormatting>
  <conditionalFormatting sqref="C28">
    <cfRule type="cellIs" dxfId="30" priority="32" operator="lessThan">
      <formula>280</formula>
    </cfRule>
    <cfRule type="cellIs" dxfId="31" priority="33" operator="greaterThan">
      <formula>324</formula>
    </cfRule>
  </conditionalFormatting>
  <conditionalFormatting sqref="C29">
    <cfRule type="cellIs" dxfId="28" priority="30" operator="lessThan">
      <formula>3.1</formula>
    </cfRule>
    <cfRule type="cellIs" dxfId="29" priority="31" operator="greaterThan">
      <formula>3.8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9" priority="20" operator="lessThan">
      <formula>535</formula>
    </cfRule>
    <cfRule type="cellIs" dxfId="18" priority="21" operator="greaterThan">
      <formula>590</formula>
    </cfRule>
  </conditionalFormatting>
  <conditionalFormatting sqref="C35">
    <cfRule type="cellIs" dxfId="17" priority="2" operator="lessThan">
      <formula>4</formula>
    </cfRule>
    <cfRule type="cellIs" dxfId="16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2" priority="16" operator="lessThan">
      <formula>39</formula>
    </cfRule>
    <cfRule type="cellIs" dxfId="13" priority="17" operator="greaterThan">
      <formula>41.9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6" priority="10" operator="lessThan">
      <formula>49</formula>
    </cfRule>
    <cfRule type="cellIs" dxfId="7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2025-12-18T09:10:57Z</dcterms:created>
  <dcterms:modified xsi:type="dcterms:W3CDTF">2025-12-18T09:11:56Z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2025-12-18T09:11:38Z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c4927c5a-461d-427b-a083-4606a3cddb89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