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865062\Downloads\"/>
    </mc:Choice>
  </mc:AlternateContent>
  <xr:revisionPtr revIDLastSave="0" documentId="8_{C4E64144-6750-4117-BDA7-3B79E1B171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urrent Rate" sheetId="1" r:id="rId1"/>
    <sheet name="Card" sheetId="3" r:id="rId2"/>
    <sheet name="POPULATE" sheetId="6" state="hidden" r:id="rId3"/>
  </sheets>
  <definedNames>
    <definedName name="_xlnm.Print_Area" localSheetId="1">Card!$A$6:$B$43</definedName>
    <definedName name="_xlnm.Print_Area" localSheetId="2">POPULATE!$A$6:$B$43</definedName>
    <definedName name="SpreadsheetBuilder_1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B44" i="1"/>
  <c r="U10" i="6"/>
  <c r="U12" i="6"/>
  <c r="T24" i="6"/>
  <c r="U38" i="6"/>
  <c r="T39" i="6"/>
  <c r="U26" i="6"/>
  <c r="U27" i="6"/>
  <c r="U31" i="6"/>
  <c r="T38" i="6"/>
  <c r="T26" i="6"/>
  <c r="U16" i="6"/>
  <c r="U39" i="6"/>
  <c r="T16" i="6"/>
  <c r="T27" i="6"/>
  <c r="U24" i="6"/>
  <c r="T20" i="6"/>
  <c r="T10" i="6"/>
  <c r="T31" i="6"/>
  <c r="T12" i="6"/>
  <c r="U20" i="6"/>
  <c r="T25" i="6"/>
  <c r="T18" i="6"/>
  <c r="T23" i="6"/>
  <c r="U19" i="6"/>
  <c r="U9" i="6"/>
  <c r="U28" i="6"/>
  <c r="T21" i="6"/>
  <c r="U17" i="6"/>
  <c r="U7" i="6"/>
  <c r="T42" i="6"/>
  <c r="T28" i="6"/>
  <c r="U18" i="6"/>
  <c r="T7" i="6"/>
  <c r="T19" i="6"/>
  <c r="T9" i="6"/>
  <c r="U42" i="6"/>
  <c r="U25" i="6"/>
  <c r="U23" i="6"/>
  <c r="T17" i="6"/>
  <c r="U21" i="6"/>
  <c r="U8" i="6"/>
  <c r="U32" i="6"/>
  <c r="T30" i="6"/>
  <c r="U35" i="6"/>
  <c r="U40" i="6"/>
  <c r="T36" i="6"/>
  <c r="T22" i="6"/>
  <c r="T37" i="6"/>
  <c r="T32" i="6"/>
  <c r="U33" i="6"/>
  <c r="T41" i="6"/>
  <c r="T8" i="6"/>
  <c r="U30" i="6"/>
  <c r="T35" i="6"/>
  <c r="U22" i="6"/>
  <c r="U37" i="6"/>
  <c r="T40" i="6"/>
  <c r="T33" i="6"/>
  <c r="U36" i="6"/>
  <c r="U41" i="6"/>
  <c r="U29" i="6"/>
  <c r="T29" i="6"/>
  <c r="U15" i="6"/>
  <c r="U34" i="6"/>
  <c r="T6" i="6"/>
  <c r="T14" i="6"/>
  <c r="U11" i="6"/>
  <c r="T15" i="6"/>
  <c r="U6" i="6"/>
  <c r="T34" i="6"/>
  <c r="U14" i="6"/>
  <c r="T11" i="6"/>
  <c r="T13" i="6"/>
  <c r="U13" i="6"/>
  <c r="U4" i="6"/>
  <c r="T47" i="6"/>
  <c r="T4" i="6"/>
  <c r="T45" i="6"/>
  <c r="S4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J30" i="3" l="1"/>
  <c r="D31" i="3"/>
  <c r="G10" i="3"/>
  <c r="H10" i="3" s="1"/>
  <c r="C10" i="3" s="1"/>
  <c r="J16" i="3"/>
  <c r="J29" i="3"/>
  <c r="G34" i="3"/>
  <c r="H34" i="3" s="1"/>
  <c r="C34" i="3" s="1"/>
  <c r="J40" i="3"/>
  <c r="D26" i="3"/>
  <c r="D37" i="3"/>
  <c r="J24" i="3"/>
  <c r="D42" i="3"/>
  <c r="G15" i="3"/>
  <c r="H15" i="3" s="1"/>
  <c r="C15" i="3" s="1"/>
  <c r="G8" i="3"/>
  <c r="H8" i="3" s="1"/>
  <c r="C8" i="3" s="1"/>
  <c r="J25" i="3"/>
  <c r="J11" i="3"/>
  <c r="D43" i="3"/>
  <c r="D40" i="3"/>
  <c r="D18" i="3"/>
  <c r="G17" i="3"/>
  <c r="H17" i="3" s="1"/>
  <c r="C17" i="3" s="1"/>
  <c r="G32" i="3"/>
  <c r="H32" i="3" s="1"/>
  <c r="C32" i="3" s="1"/>
  <c r="G36" i="3"/>
  <c r="H36" i="3" s="1"/>
  <c r="C36" i="3" s="1"/>
  <c r="G12" i="3"/>
  <c r="H12" i="3" s="1"/>
  <c r="C12" i="3" s="1"/>
  <c r="J28" i="3"/>
  <c r="J10" i="3"/>
  <c r="G20" i="3"/>
  <c r="H20" i="3" s="1"/>
  <c r="C20" i="3" s="1"/>
  <c r="G35" i="3"/>
  <c r="H35" i="3" s="1"/>
  <c r="C35" i="3" s="1"/>
  <c r="J13" i="3"/>
  <c r="D33" i="3"/>
  <c r="J9" i="3"/>
  <c r="G19" i="3"/>
  <c r="H19" i="3" s="1"/>
  <c r="C19" i="3" s="1"/>
  <c r="J38" i="3"/>
  <c r="G14" i="3"/>
  <c r="H14" i="3" s="1"/>
  <c r="C14" i="3" s="1"/>
  <c r="G23" i="3"/>
  <c r="H23" i="3" s="1"/>
  <c r="C23" i="3" s="1"/>
  <c r="J41" i="3"/>
  <c r="J42" i="3"/>
  <c r="G42" i="3"/>
  <c r="H42" i="3" s="1"/>
  <c r="C42" i="3" s="1"/>
  <c r="J39" i="3"/>
  <c r="G39" i="3"/>
  <c r="H39" i="3" s="1"/>
  <c r="C39" i="3" s="1"/>
  <c r="D39" i="3"/>
  <c r="J27" i="3"/>
  <c r="G27" i="3"/>
  <c r="H27" i="3" s="1"/>
  <c r="C27" i="3" s="1"/>
  <c r="D27" i="3"/>
  <c r="J22" i="3"/>
  <c r="G22" i="3"/>
  <c r="H22" i="3" s="1"/>
  <c r="C22" i="3" s="1"/>
  <c r="D22" i="3"/>
  <c r="J21" i="3"/>
  <c r="G21" i="3"/>
  <c r="H21" i="3" s="1"/>
  <c r="C21" i="3" s="1"/>
  <c r="D21" i="3"/>
  <c r="J19" i="3"/>
  <c r="J17" i="3"/>
  <c r="D17" i="3"/>
  <c r="J7" i="3"/>
  <c r="G7" i="3"/>
  <c r="H7" i="3" s="1"/>
  <c r="C7" i="3" s="1"/>
  <c r="D7" i="3"/>
  <c r="J6" i="3"/>
  <c r="D6" i="3"/>
  <c r="H6" i="3" s="1"/>
  <c r="C6" i="3"/>
  <c r="J34" i="3" l="1"/>
  <c r="G31" i="3"/>
  <c r="H31" i="3" s="1"/>
  <c r="C31" i="3" s="1"/>
  <c r="G40" i="3"/>
  <c r="H40" i="3" s="1"/>
  <c r="C40" i="3" s="1"/>
  <c r="D8" i="3"/>
  <c r="G26" i="3"/>
  <c r="H26" i="3" s="1"/>
  <c r="C26" i="3" s="1"/>
  <c r="D30" i="3"/>
  <c r="D11" i="3"/>
  <c r="G30" i="3"/>
  <c r="H30" i="3" s="1"/>
  <c r="C30" i="3" s="1"/>
  <c r="J8" i="3"/>
  <c r="G11" i="3"/>
  <c r="H11" i="3" s="1"/>
  <c r="C11" i="3" s="1"/>
  <c r="G33" i="3"/>
  <c r="H33" i="3" s="1"/>
  <c r="C33" i="3" s="1"/>
  <c r="D16" i="3"/>
  <c r="J33" i="3"/>
  <c r="J15" i="3"/>
  <c r="G16" i="3"/>
  <c r="H16" i="3" s="1"/>
  <c r="C16" i="3" s="1"/>
  <c r="D34" i="3"/>
  <c r="J12" i="3"/>
  <c r="D13" i="3"/>
  <c r="D35" i="3"/>
  <c r="G13" i="3"/>
  <c r="H13" i="3" s="1"/>
  <c r="C13" i="3" s="1"/>
  <c r="D19" i="3"/>
  <c r="J35" i="3"/>
  <c r="D14" i="3"/>
  <c r="J14" i="3"/>
  <c r="J23" i="3"/>
  <c r="D15" i="3"/>
  <c r="D23" i="3"/>
  <c r="D38" i="3"/>
  <c r="D10" i="3"/>
  <c r="J32" i="3"/>
  <c r="J20" i="3"/>
  <c r="J26" i="3"/>
  <c r="D20" i="3"/>
  <c r="G28" i="3"/>
  <c r="H28" i="3" s="1"/>
  <c r="C28" i="3" s="1"/>
  <c r="G43" i="3"/>
  <c r="H43" i="3" s="1"/>
  <c r="C43" i="3" s="1"/>
  <c r="D41" i="3"/>
  <c r="J43" i="3"/>
  <c r="D28" i="3"/>
  <c r="D9" i="3"/>
  <c r="D29" i="3"/>
  <c r="G9" i="3"/>
  <c r="H9" i="3" s="1"/>
  <c r="C9" i="3" s="1"/>
  <c r="D36" i="3"/>
  <c r="J36" i="3"/>
  <c r="G29" i="3"/>
  <c r="H29" i="3" s="1"/>
  <c r="C29" i="3" s="1"/>
  <c r="G37" i="3"/>
  <c r="H37" i="3" s="1"/>
  <c r="C37" i="3" s="1"/>
  <c r="G18" i="3"/>
  <c r="H18" i="3" s="1"/>
  <c r="C18" i="3" s="1"/>
  <c r="D25" i="3"/>
  <c r="J31" i="3"/>
  <c r="G38" i="3"/>
  <c r="H38" i="3" s="1"/>
  <c r="C38" i="3" s="1"/>
  <c r="D24" i="3"/>
  <c r="G24" i="3"/>
  <c r="H24" i="3" s="1"/>
  <c r="C24" i="3" s="1"/>
  <c r="J37" i="3"/>
  <c r="D12" i="3"/>
  <c r="J18" i="3"/>
  <c r="G25" i="3"/>
  <c r="H25" i="3" s="1"/>
  <c r="C25" i="3" s="1"/>
  <c r="D32" i="3"/>
  <c r="G41" i="3"/>
  <c r="H41" i="3" s="1"/>
  <c r="C41" i="3" s="1"/>
  <c r="C23" i="1"/>
  <c r="B23" i="1"/>
  <c r="B16" i="1"/>
  <c r="P43" i="1"/>
  <c r="B43" i="1"/>
  <c r="G25" i="1" l="1"/>
  <c r="G35" i="1"/>
  <c r="G27" i="1"/>
  <c r="G29" i="1"/>
  <c r="G37" i="1"/>
  <c r="G31" i="1"/>
  <c r="G39" i="1"/>
  <c r="G33" i="1"/>
  <c r="G41" i="1"/>
  <c r="K56" i="1"/>
  <c r="Y24" i="1"/>
  <c r="AA24" i="1" l="1"/>
  <c r="P35" i="1"/>
  <c r="K35" i="1"/>
  <c r="B35" i="1" s="1"/>
  <c r="J35" i="1"/>
  <c r="C35" i="1" s="1"/>
  <c r="H35" i="1"/>
  <c r="K25" i="1"/>
  <c r="C25" i="1" s="1"/>
  <c r="L48" i="1" s="1"/>
  <c r="X26" i="1"/>
  <c r="Y26" i="1" s="1"/>
  <c r="P25" i="1"/>
  <c r="J25" i="1"/>
  <c r="B25" i="1" s="1"/>
  <c r="H25" i="1"/>
  <c r="J27" i="1"/>
  <c r="C27" i="1" s="1"/>
  <c r="H27" i="1"/>
  <c r="K27" i="1" s="1"/>
  <c r="B27" i="1" s="1"/>
  <c r="L52" i="1" s="1"/>
  <c r="P27" i="1"/>
  <c r="H31" i="1"/>
  <c r="J31" i="1"/>
  <c r="C31" i="1" s="1"/>
  <c r="P31" i="1"/>
  <c r="K31" i="1"/>
  <c r="B31" i="1" s="1"/>
  <c r="X30" i="1"/>
  <c r="Y30" i="1" s="1"/>
  <c r="K37" i="1"/>
  <c r="B37" i="1" s="1"/>
  <c r="X34" i="1"/>
  <c r="Y34" i="1" s="1"/>
  <c r="H37" i="1"/>
  <c r="J37" i="1"/>
  <c r="C37" i="1" s="1"/>
  <c r="P37" i="1"/>
  <c r="J39" i="1"/>
  <c r="B39" i="1" s="1"/>
  <c r="K39" i="1"/>
  <c r="C39" i="1" s="1"/>
  <c r="P39" i="1"/>
  <c r="H39" i="1"/>
  <c r="K41" i="1"/>
  <c r="P41" i="1"/>
  <c r="J41" i="1"/>
  <c r="H41" i="1"/>
  <c r="X32" i="1"/>
  <c r="Y32" i="1" s="1"/>
  <c r="J33" i="1"/>
  <c r="C33" i="1" s="1"/>
  <c r="P33" i="1"/>
  <c r="H33" i="1"/>
  <c r="K33" i="1" s="1"/>
  <c r="B33" i="1" s="1"/>
  <c r="L51" i="1" s="1"/>
  <c r="H29" i="1"/>
  <c r="K29" i="1"/>
  <c r="C29" i="1" s="1"/>
  <c r="L49" i="1" s="1"/>
  <c r="X28" i="1"/>
  <c r="Y28" i="1" s="1"/>
  <c r="J29" i="1"/>
  <c r="B29" i="1" s="1"/>
  <c r="P29" i="1"/>
  <c r="B41" i="1" l="1"/>
  <c r="L50" i="1" s="1"/>
  <c r="K44" i="1"/>
  <c r="C41" i="1"/>
  <c r="J44" i="1"/>
  <c r="Q35" i="1"/>
  <c r="T35" i="1"/>
  <c r="S35" i="1"/>
  <c r="AA28" i="1"/>
  <c r="AA26" i="1"/>
  <c r="AB24" i="1"/>
  <c r="AA32" i="1"/>
  <c r="AA34" i="1"/>
  <c r="AA30" i="1"/>
  <c r="T37" i="1"/>
  <c r="S37" i="1"/>
  <c r="Q37" i="1"/>
  <c r="Q27" i="1"/>
  <c r="T27" i="1" s="1"/>
  <c r="S27" i="1"/>
  <c r="S33" i="1"/>
  <c r="Q33" i="1"/>
  <c r="T33" i="1" s="1"/>
  <c r="S39" i="1"/>
  <c r="T39" i="1"/>
  <c r="Q39" i="1"/>
  <c r="S41" i="1"/>
  <c r="Q41" i="1"/>
  <c r="T41" i="1"/>
  <c r="T31" i="1"/>
  <c r="S31" i="1"/>
  <c r="Q31" i="1"/>
  <c r="Q25" i="1"/>
  <c r="T25" i="1"/>
  <c r="S25" i="1"/>
  <c r="T29" i="1"/>
  <c r="Q29" i="1"/>
  <c r="S29" i="1"/>
  <c r="AB28" i="1" l="1"/>
  <c r="AB26" i="1"/>
  <c r="AB34" i="1"/>
  <c r="AB32" i="1"/>
  <c r="AB30" i="1"/>
</calcChain>
</file>

<file path=xl/sharedStrings.xml><?xml version="1.0" encoding="utf-8"?>
<sst xmlns="http://schemas.openxmlformats.org/spreadsheetml/2006/main" count="251" uniqueCount="149">
  <si>
    <t xml:space="preserve"> </t>
  </si>
  <si>
    <t>STANBIC IBTC</t>
  </si>
  <si>
    <t>TREASURY DEPT.</t>
  </si>
  <si>
    <t>Tel.- 2700669, 2700668, 2700667</t>
  </si>
  <si>
    <t>The following rates are advised for transactions</t>
  </si>
  <si>
    <t>Please contact Treasury for volumes over the above specified limits</t>
  </si>
  <si>
    <t>Date</t>
  </si>
  <si>
    <t>CASH / TT / CHQ</t>
  </si>
  <si>
    <t>Stanbic IBTC BID</t>
  </si>
  <si>
    <t>Stanbic IBTC OFFER</t>
  </si>
  <si>
    <t>ib</t>
  </si>
  <si>
    <t>USD/NGN</t>
  </si>
  <si>
    <t>.</t>
  </si>
  <si>
    <t>Xrates - NO SPREAD(bids)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</si>
  <si>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</si>
  <si>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</si>
  <si>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</si>
  <si>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</si>
  <si>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</si>
  <si>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</si>
  <si>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</si>
  <si>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</si>
  <si>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</si>
  <si>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</si>
  <si>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</si>
  <si>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</si>
  <si>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</si>
  <si>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</si>
  <si>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</si>
  <si>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</si>
  <si>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</si>
  <si>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</si>
  <si>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</si>
  <si>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</si>
  <si>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</si>
  <si>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</si>
  <si>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</si>
  <si>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</si>
  <si>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</si>
  <si>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CNY/NGN</t>
  </si>
  <si>
    <t>cny</t>
  </si>
  <si>
    <t>CBN</t>
  </si>
  <si>
    <t>Form M Rate</t>
  </si>
  <si>
    <t xml:space="preserve">MASTERCARD RATES </t>
  </si>
  <si>
    <t>Please do not edit</t>
  </si>
  <si>
    <t>Screen - Offer rate</t>
  </si>
  <si>
    <t>Spreads</t>
  </si>
  <si>
    <t>Final</t>
  </si>
  <si>
    <t>Feed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</si>
  <si>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</si>
  <si>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</si>
  <si>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</si>
  <si>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</si>
  <si>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</si>
  <si>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</si>
  <si>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</si>
  <si>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</si>
  <si>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</si>
  <si>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</si>
  <si>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</si>
  <si>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</si>
  <si>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</si>
  <si>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</si>
  <si>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</si>
  <si>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</si>
  <si>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</si>
  <si>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</si>
  <si>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</si>
  <si>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</si>
  <si>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</si>
  <si>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</si>
  <si>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</si>
  <si>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</si>
  <si>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</si>
  <si>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</si>
  <si>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</si>
  <si>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</si>
  <si>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</si>
  <si>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</si>
  <si>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</si>
  <si>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</si>
  <si>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</si>
  <si>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</si>
  <si>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</si>
  <si>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</si>
  <si>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</si>
  <si>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</si>
  <si>
    <t xml:space="preserve">-   below $10,000 (against USD) or its' equivalent in other currencies. </t>
  </si>
  <si>
    <t xml:space="preserve">-   below $10,000 (FCY to NGN) or its' equivalent in other currencies. </t>
  </si>
  <si>
    <t>INDICATIVE RATES</t>
  </si>
  <si>
    <t>USD/CNH</t>
  </si>
  <si>
    <t xml:space="preserve">FUNDS NOT AVAILABLE </t>
  </si>
  <si>
    <t xml:space="preserve"> PTA/EDUC/MEDICALS</t>
  </si>
  <si>
    <t>SOURCE: https://customs.gov.ng/</t>
  </si>
  <si>
    <t xml:space="preserve"> PTA &amp; BTA (I&amp;E)</t>
  </si>
  <si>
    <t>Med &amp; Tuition (I&amp;E)</t>
  </si>
  <si>
    <t>|</t>
  </si>
  <si>
    <t xml:space="preserve">TRANSFERS </t>
  </si>
  <si>
    <t>CASH DEPOSITS</t>
  </si>
  <si>
    <t xml:space="preserve"> USDSAR  Curncy</t>
  </si>
  <si>
    <t xml:space="preserve"> USDHKD  Curncy</t>
  </si>
  <si>
    <t xml:space="preserve"> USDVND  Curncy</t>
  </si>
  <si>
    <t xml:space="preserve"> USDPHP  Curncy</t>
  </si>
  <si>
    <t xml:space="preserve"> USDMMK  Curncy</t>
  </si>
  <si>
    <t xml:space="preserve"> USDXCD  Curncy</t>
  </si>
  <si>
    <t xml:space="preserve"> USDUAH  Curncy</t>
  </si>
  <si>
    <t xml:space="preserve"> USDSLL  Curncy</t>
  </si>
  <si>
    <t xml:space="preserve"> USDRON  Curncy</t>
  </si>
  <si>
    <t xml:space="preserve"> USDXAF  Curncy</t>
  </si>
  <si>
    <t xml:space="preserve"> USDMUR  Curncy</t>
  </si>
  <si>
    <t xml:space="preserve"> USDTTD  Curncy</t>
  </si>
  <si>
    <t xml:space="preserve"> USDBWP  Curncy</t>
  </si>
  <si>
    <t xml:space="preserve"> USDTZS  Curncy</t>
  </si>
  <si>
    <t xml:space="preserve"> USDILS  Curncy</t>
  </si>
  <si>
    <t xml:space="preserve"> USDLKR  Curncy</t>
  </si>
  <si>
    <t xml:space="preserve"> USDUGX  Curncy</t>
  </si>
  <si>
    <t xml:space="preserve"> USDSGD  Curncy</t>
  </si>
  <si>
    <t xml:space="preserve"> USDAED  Curncy</t>
  </si>
  <si>
    <t xml:space="preserve"> USDXPF  Curncy</t>
  </si>
  <si>
    <t xml:space="preserve"> USDINR  Curncy</t>
  </si>
  <si>
    <t xml:space="preserve"> USDXOF  Curncy</t>
  </si>
  <si>
    <t xml:space="preserve"> USDKES  Curncy</t>
  </si>
  <si>
    <t xml:space="preserve"> USDSEK  Curncy</t>
  </si>
  <si>
    <t xml:space="preserve"> USDPLN  Curncy</t>
  </si>
  <si>
    <t xml:space="preserve"> USDTRY  Curncy</t>
  </si>
  <si>
    <t xml:space="preserve"> USDGHS  Curncy</t>
  </si>
  <si>
    <t xml:space="preserve"> USDCNY  Curncy</t>
  </si>
  <si>
    <t xml:space="preserve"> USDCNH  Curncy</t>
  </si>
  <si>
    <t xml:space="preserve"> AUDUSD  Curncy</t>
  </si>
  <si>
    <t xml:space="preserve"> USDCAD  Curncy</t>
  </si>
  <si>
    <t xml:space="preserve"> USDDKK  Curncy</t>
  </si>
  <si>
    <t xml:space="preserve"> USDZAR  Curncy</t>
  </si>
  <si>
    <t>USDCHF Curncy</t>
  </si>
  <si>
    <t>GBPUSD Curncy</t>
  </si>
  <si>
    <t>USDJPY Curncy</t>
  </si>
  <si>
    <t>EURUSD Curncy</t>
  </si>
  <si>
    <t>PX_ASK</t>
  </si>
  <si>
    <t>PX_BID</t>
  </si>
  <si>
    <t>LAST_PRICE</t>
  </si>
  <si>
    <t>CNH/NGN</t>
  </si>
  <si>
    <t>PX_LAST</t>
  </si>
  <si>
    <t>NAFEX FIX</t>
  </si>
  <si>
    <t>NIGNNAFX Index</t>
  </si>
  <si>
    <t>PREVIOUS DAY NAFEX FIX</t>
  </si>
  <si>
    <t xml:space="preserve">UPDATE RATES </t>
  </si>
  <si>
    <t xml:space="preserve">OFFER </t>
  </si>
  <si>
    <t xml:space="preserve">NAFEX FIX </t>
  </si>
  <si>
    <t>HIDE THIS SHEET ONCE UPDATED. COPY AND PASTE VALUES</t>
  </si>
  <si>
    <t>USD/CNY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</si>
</sst>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(* #,##0_);_(* \(#,##0\);_(* &quot;-&quot;??_);_(@_)"/>
    <numFmt numFmtId="167" formatCode="_(* #,##0.0000_);_(* \(#,##0.0000\);_(* &quot;-&quot;??_);_(@_)"/>
    <numFmt numFmtId="168" formatCode="0.0000"/>
    <numFmt numFmtId="169" formatCode="_(* #,##0.00000_);_(* \(#,##0.00000\);_(* &quot;-&quot;??_);_(@_)"/>
    <numFmt numFmtId="170" formatCode="0.000"/>
    <numFmt numFmtId="171" formatCode="0.00000"/>
    <numFmt numFmtId="172" formatCode="_-* #,##0.00000_-;\-* #,##0.00000_-;_-* &quot;-&quot;??_-;_-@_-"/>
    <numFmt numFmtId="173" formatCode="_ * #,##0.0000_ ;_ * \-#,##0.0000_ ;_ * &quot;-&quot;??_ ;_ @_ "/>
    <numFmt numFmtId="174" formatCode="_(* #,##0.000_);_(* \(#,##0.000\);_(* &quot;-&quot;??_);_(@_)"/>
    <numFmt numFmtId="175" formatCode="_-* #,##0.0000_-;\-* #,##0.0000_-;_-* &quot;-&quot;??_-;_-@_-"/>
    <numFmt numFmtId="176" formatCode="_(* #,##0.0000000_);_(* \(#,##0.0000000\);_(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sz val="11"/>
      <color rgb="FF1F497D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theme="0"/>
      <name val="Calibri"/>
      <family val="2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9" fontId="17" fillId="0" borderId="0" applyFont="0" applyFill="0" applyBorder="0" applyAlignment="0" applyProtection="0"/>
    <xf numFmtId="0" fontId="1" fillId="0" borderId="0"/>
    <xf numFmtId="0" fontId="33" fillId="9" borderId="0" applyNumberFormat="0" applyBorder="0" applyAlignment="0" applyProtection="0"/>
  </cellStyleXfs>
  <cellXfs count="171">
    <xf numFmtId="0" fontId="0" fillId="0" borderId="0" xfId="0"/>
    <xf numFmtId="0" fontId="7" fillId="0" borderId="1" xfId="0" applyFont="1" applyBorder="1" applyAlignment="1">
      <alignment horizontal="right"/>
    </xf>
    <xf numFmtId="43" fontId="8" fillId="0" borderId="1" xfId="1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43" fontId="8" fillId="6" borderId="1" xfId="1" applyNumberFormat="1" applyFont="1" applyFill="1" applyBorder="1" applyAlignment="1">
      <alignment horizontal="right"/>
    </xf>
    <xf numFmtId="173" fontId="8" fillId="6" borderId="1" xfId="0" applyNumberFormat="1" applyFont="1" applyFill="1" applyBorder="1"/>
    <xf numFmtId="167" fontId="8" fillId="0" borderId="1" xfId="1" applyNumberFormat="1" applyFont="1" applyBorder="1" applyAlignment="1">
      <alignment horizontal="right"/>
    </xf>
    <xf numFmtId="0" fontId="10" fillId="4" borderId="1" xfId="0" applyFont="1" applyFill="1" applyBorder="1" applyAlignment="1">
      <alignment horizontal="center" wrapText="1"/>
    </xf>
    <xf numFmtId="167" fontId="8" fillId="6" borderId="1" xfId="1" applyNumberFormat="1" applyFont="1" applyFill="1" applyBorder="1" applyAlignment="1">
      <alignment horizontal="right"/>
    </xf>
    <xf numFmtId="0" fontId="0" fillId="0" borderId="1" xfId="0" applyBorder="1"/>
    <xf numFmtId="0" fontId="10" fillId="6" borderId="1" xfId="0" applyFont="1" applyFill="1" applyBorder="1" applyAlignment="1">
      <alignment horizontal="center" wrapText="1"/>
    </xf>
    <xf numFmtId="43" fontId="8" fillId="0" borderId="1" xfId="1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167" fontId="15" fillId="0" borderId="1" xfId="0" applyNumberFormat="1" applyFont="1" applyBorder="1"/>
    <xf numFmtId="168" fontId="15" fillId="0" borderId="1" xfId="0" applyNumberFormat="1" applyFont="1" applyBorder="1"/>
    <xf numFmtId="168" fontId="0" fillId="0" borderId="1" xfId="0" applyNumberFormat="1" applyBorder="1"/>
    <xf numFmtId="0" fontId="7" fillId="8" borderId="1" xfId="0" applyFont="1" applyFill="1" applyBorder="1" applyAlignment="1">
      <alignment horizontal="right"/>
    </xf>
    <xf numFmtId="173" fontId="11" fillId="6" borderId="1" xfId="0" applyNumberFormat="1" applyFont="1" applyFill="1" applyBorder="1"/>
    <xf numFmtId="167" fontId="11" fillId="6" borderId="1" xfId="1" applyNumberFormat="1" applyFont="1" applyFill="1" applyBorder="1" applyAlignment="1">
      <alignment horizontal="right"/>
    </xf>
    <xf numFmtId="168" fontId="14" fillId="0" borderId="1" xfId="0" applyNumberFormat="1" applyFont="1" applyBorder="1" applyAlignment="1">
      <alignment horizontal="right"/>
    </xf>
    <xf numFmtId="43" fontId="14" fillId="0" borderId="1" xfId="1" applyNumberFormat="1" applyFont="1" applyBorder="1" applyAlignment="1">
      <alignment horizontal="right"/>
    </xf>
    <xf numFmtId="43" fontId="14" fillId="0" borderId="1" xfId="1" applyNumberFormat="1" applyFont="1" applyFill="1" applyBorder="1" applyAlignment="1">
      <alignment horizontal="right"/>
    </xf>
    <xf numFmtId="0" fontId="13" fillId="0" borderId="1" xfId="2" applyFont="1" applyBorder="1" applyAlignment="1" applyProtection="1">
      <alignment horizontal="right"/>
    </xf>
    <xf numFmtId="3" fontId="12" fillId="0" borderId="1" xfId="0" applyNumberFormat="1" applyFont="1" applyBorder="1"/>
    <xf numFmtId="0" fontId="10" fillId="7" borderId="1" xfId="0" applyFont="1" applyFill="1" applyBorder="1" applyAlignment="1">
      <alignment horizontal="center" wrapText="1"/>
    </xf>
    <xf numFmtId="165" fontId="8" fillId="7" borderId="1" xfId="0" applyNumberFormat="1" applyFont="1" applyFill="1" applyBorder="1"/>
    <xf numFmtId="165" fontId="16" fillId="5" borderId="1" xfId="0" applyNumberFormat="1" applyFont="1" applyFill="1" applyBorder="1"/>
    <xf numFmtId="10" fontId="0" fillId="0" borderId="1" xfId="3" applyNumberFormat="1" applyFont="1" applyBorder="1"/>
    <xf numFmtId="43" fontId="0" fillId="0" borderId="1" xfId="0" applyNumberFormat="1" applyBorder="1"/>
    <xf numFmtId="173" fontId="8" fillId="7" borderId="1" xfId="0" applyNumberFormat="1" applyFont="1" applyFill="1" applyBorder="1"/>
    <xf numFmtId="173" fontId="8" fillId="5" borderId="1" xfId="0" applyNumberFormat="1" applyFont="1" applyFill="1" applyBorder="1"/>
    <xf numFmtId="173" fontId="8" fillId="0" borderId="1" xfId="0" applyNumberFormat="1" applyFont="1" applyBorder="1"/>
    <xf numFmtId="174" fontId="0" fillId="0" borderId="1" xfId="0" applyNumberFormat="1" applyBorder="1"/>
    <xf numFmtId="173" fontId="11" fillId="0" borderId="1" xfId="0" applyNumberFormat="1" applyFont="1" applyBorder="1"/>
    <xf numFmtId="176" fontId="14" fillId="0" borderId="1" xfId="0" applyNumberFormat="1" applyFont="1" applyBorder="1" applyAlignment="1">
      <alignment horizontal="right"/>
    </xf>
    <xf numFmtId="164" fontId="0" fillId="0" borderId="1" xfId="1" applyFont="1" applyBorder="1"/>
    <xf numFmtId="14" fontId="0" fillId="0" borderId="1" xfId="0" applyNumberFormat="1" applyBorder="1"/>
    <xf numFmtId="0" fontId="20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0" fillId="0" borderId="1" xfId="0" applyFont="1" applyBorder="1"/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43" fontId="20" fillId="0" borderId="1" xfId="1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23" fillId="0" borderId="1" xfId="0" applyFont="1" applyBorder="1" applyAlignment="1">
      <alignment horizontal="left"/>
    </xf>
    <xf numFmtId="0" fontId="23" fillId="0" borderId="1" xfId="0" applyFont="1" applyBorder="1"/>
    <xf numFmtId="0" fontId="23" fillId="0" borderId="1" xfId="0" quotePrefix="1" applyFont="1" applyBorder="1" applyAlignment="1">
      <alignment horizontal="left"/>
    </xf>
    <xf numFmtId="0" fontId="23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20" fillId="0" borderId="1" xfId="1" applyNumberFormat="1" applyFont="1" applyFill="1" applyBorder="1" applyAlignment="1">
      <alignment horizontal="right"/>
    </xf>
    <xf numFmtId="43" fontId="20" fillId="3" borderId="1" xfId="1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20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0" fillId="0" borderId="1" xfId="1" applyNumberFormat="1" applyFont="1" applyBorder="1" applyAlignment="1">
      <alignment horizontal="center"/>
    </xf>
    <xf numFmtId="167" fontId="20" fillId="0" borderId="1" xfId="1" applyNumberFormat="1" applyFont="1" applyBorder="1" applyAlignment="1">
      <alignment horizontal="right"/>
    </xf>
    <xf numFmtId="15" fontId="21" fillId="5" borderId="1" xfId="0" applyNumberFormat="1" applyFont="1" applyFill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43" fontId="20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6" fontId="20" fillId="3" borderId="1" xfId="1" applyNumberFormat="1" applyFont="1" applyFill="1" applyBorder="1" applyAlignment="1">
      <alignment horizontal="right"/>
    </xf>
    <xf numFmtId="0" fontId="24" fillId="0" borderId="1" xfId="0" applyFont="1" applyBorder="1" applyAlignment="1">
      <alignment horizontal="right"/>
    </xf>
    <xf numFmtId="0" fontId="25" fillId="0" borderId="1" xfId="0" applyFont="1" applyBorder="1" applyAlignment="1">
      <alignment horizontal="right"/>
    </xf>
    <xf numFmtId="43" fontId="19" fillId="0" borderId="1" xfId="0" applyNumberFormat="1" applyFont="1" applyBorder="1" applyAlignment="1">
      <alignment horizontal="right"/>
    </xf>
    <xf numFmtId="43" fontId="10" fillId="0" borderId="1" xfId="1" applyNumberFormat="1" applyFont="1" applyBorder="1" applyAlignment="1">
      <alignment horizontal="right"/>
    </xf>
    <xf numFmtId="0" fontId="19" fillId="0" borderId="1" xfId="0" applyFont="1" applyBorder="1" applyAlignment="1">
      <alignment horizontal="right"/>
    </xf>
    <xf numFmtId="43" fontId="26" fillId="0" borderId="1" xfId="1" applyNumberFormat="1" applyFont="1" applyFill="1" applyBorder="1" applyAlignment="1"/>
    <xf numFmtId="0" fontId="27" fillId="0" borderId="1" xfId="0" applyFont="1" applyBorder="1" applyAlignment="1">
      <alignment horizontal="right"/>
    </xf>
    <xf numFmtId="43" fontId="14" fillId="0" borderId="1" xfId="0" applyNumberFormat="1" applyFont="1" applyBorder="1" applyAlignment="1">
      <alignment horizontal="right"/>
    </xf>
    <xf numFmtId="168" fontId="20" fillId="0" borderId="1" xfId="0" applyNumberFormat="1" applyFont="1" applyBorder="1"/>
    <xf numFmtId="16" fontId="27" fillId="2" borderId="1" xfId="0" applyNumberFormat="1" applyFont="1" applyFill="1" applyBorder="1" applyAlignment="1">
      <alignment horizontal="right"/>
    </xf>
    <xf numFmtId="0" fontId="27" fillId="2" borderId="1" xfId="0" applyFont="1" applyFill="1" applyBorder="1" applyAlignment="1">
      <alignment horizontal="right"/>
    </xf>
    <xf numFmtId="167" fontId="14" fillId="0" borderId="1" xfId="0" applyNumberFormat="1" applyFont="1" applyBorder="1" applyAlignment="1">
      <alignment horizontal="right"/>
    </xf>
    <xf numFmtId="43" fontId="27" fillId="0" borderId="1" xfId="1" applyNumberFormat="1" applyFont="1" applyFill="1" applyBorder="1" applyAlignment="1">
      <alignment horizontal="right"/>
    </xf>
    <xf numFmtId="0" fontId="14" fillId="0" borderId="1" xfId="0" applyFont="1" applyBorder="1"/>
    <xf numFmtId="43" fontId="20" fillId="0" borderId="1" xfId="1" applyNumberFormat="1" applyFont="1" applyBorder="1"/>
    <xf numFmtId="43" fontId="20" fillId="0" borderId="1" xfId="1" applyNumberFormat="1" applyFont="1" applyBorder="1" applyAlignment="1">
      <alignment horizontal="left"/>
    </xf>
    <xf numFmtId="4" fontId="20" fillId="0" borderId="1" xfId="1" applyNumberFormat="1" applyFont="1" applyBorder="1" applyAlignment="1">
      <alignment horizontal="center"/>
    </xf>
    <xf numFmtId="167" fontId="14" fillId="8" borderId="1" xfId="0" applyNumberFormat="1" applyFont="1" applyFill="1" applyBorder="1" applyAlignment="1">
      <alignment horizontal="right"/>
    </xf>
    <xf numFmtId="167" fontId="14" fillId="3" borderId="1" xfId="0" applyNumberFormat="1" applyFont="1" applyFill="1" applyBorder="1" applyAlignment="1">
      <alignment horizontal="right"/>
    </xf>
    <xf numFmtId="169" fontId="20" fillId="0" borderId="1" xfId="1" applyNumberFormat="1" applyFont="1" applyBorder="1" applyAlignment="1">
      <alignment horizontal="right"/>
    </xf>
    <xf numFmtId="0" fontId="20" fillId="0" borderId="1" xfId="0" applyFont="1" applyBorder="1" applyAlignment="1">
      <alignment horizontal="left"/>
    </xf>
    <xf numFmtId="172" fontId="20" fillId="0" borderId="1" xfId="1" applyNumberFormat="1" applyFont="1" applyBorder="1"/>
    <xf numFmtId="164" fontId="20" fillId="0" borderId="1" xfId="1" applyFont="1" applyBorder="1" applyAlignment="1">
      <alignment horizontal="left"/>
    </xf>
    <xf numFmtId="168" fontId="20" fillId="0" borderId="1" xfId="0" applyNumberFormat="1" applyFont="1" applyBorder="1" applyAlignment="1">
      <alignment horizontal="right"/>
    </xf>
    <xf numFmtId="172" fontId="20" fillId="0" borderId="1" xfId="0" applyNumberFormat="1" applyFont="1" applyBorder="1"/>
    <xf numFmtId="4" fontId="20" fillId="0" borderId="1" xfId="0" applyNumberFormat="1" applyFont="1" applyBorder="1" applyAlignment="1">
      <alignment horizontal="center"/>
    </xf>
    <xf numFmtId="43" fontId="20" fillId="0" borderId="1" xfId="0" applyNumberFormat="1" applyFont="1" applyBorder="1" applyAlignment="1">
      <alignment horizontal="center"/>
    </xf>
    <xf numFmtId="168" fontId="20" fillId="0" borderId="1" xfId="1" applyNumberFormat="1" applyFont="1" applyBorder="1"/>
    <xf numFmtId="171" fontId="20" fillId="0" borderId="1" xfId="1" applyNumberFormat="1" applyFont="1" applyBorder="1"/>
    <xf numFmtId="167" fontId="20" fillId="3" borderId="1" xfId="1" applyNumberFormat="1" applyFont="1" applyFill="1" applyBorder="1" applyAlignment="1">
      <alignment horizontal="right"/>
    </xf>
    <xf numFmtId="164" fontId="20" fillId="0" borderId="1" xfId="0" applyNumberFormat="1" applyFont="1" applyBorder="1"/>
    <xf numFmtId="167" fontId="28" fillId="3" borderId="1" xfId="1" applyNumberFormat="1" applyFont="1" applyFill="1" applyBorder="1" applyAlignment="1">
      <alignment horizontal="right"/>
    </xf>
    <xf numFmtId="167" fontId="20" fillId="0" borderId="1" xfId="1" applyNumberFormat="1" applyFont="1" applyFill="1" applyBorder="1" applyAlignment="1">
      <alignment horizontal="right"/>
    </xf>
    <xf numFmtId="43" fontId="20" fillId="0" borderId="1" xfId="1" applyNumberFormat="1" applyFont="1" applyFill="1" applyBorder="1"/>
    <xf numFmtId="6" fontId="20" fillId="0" borderId="1" xfId="1" applyNumberFormat="1" applyFont="1" applyBorder="1" applyAlignment="1">
      <alignment horizontal="right"/>
    </xf>
    <xf numFmtId="169" fontId="29" fillId="0" borderId="1" xfId="1" applyNumberFormat="1" applyFont="1" applyFill="1" applyBorder="1" applyAlignment="1">
      <alignment horizontal="right"/>
    </xf>
    <xf numFmtId="169" fontId="20" fillId="0" borderId="1" xfId="1" applyNumberFormat="1" applyFont="1" applyFill="1" applyBorder="1" applyAlignment="1">
      <alignment horizontal="right"/>
    </xf>
    <xf numFmtId="43" fontId="10" fillId="0" borderId="1" xfId="1" applyNumberFormat="1" applyFont="1" applyBorder="1" applyAlignment="1"/>
    <xf numFmtId="43" fontId="20" fillId="0" borderId="1" xfId="1" applyNumberFormat="1" applyFont="1" applyBorder="1" applyAlignment="1"/>
    <xf numFmtId="43" fontId="26" fillId="0" borderId="1" xfId="1" applyNumberFormat="1" applyFont="1" applyFill="1" applyBorder="1" applyAlignment="1">
      <alignment horizontal="right"/>
    </xf>
    <xf numFmtId="0" fontId="2" fillId="0" borderId="1" xfId="0" applyFont="1" applyBorder="1"/>
    <xf numFmtId="43" fontId="30" fillId="0" borderId="1" xfId="1" applyNumberFormat="1" applyFont="1" applyBorder="1"/>
    <xf numFmtId="12" fontId="10" fillId="0" borderId="1" xfId="1" applyNumberFormat="1" applyFont="1" applyFill="1" applyBorder="1"/>
    <xf numFmtId="169" fontId="20" fillId="0" borderId="1" xfId="1" applyNumberFormat="1" applyFont="1" applyFill="1" applyBorder="1"/>
    <xf numFmtId="167" fontId="20" fillId="0" borderId="1" xfId="1" applyNumberFormat="1" applyFont="1" applyFill="1" applyBorder="1"/>
    <xf numFmtId="172" fontId="20" fillId="0" borderId="1" xfId="1" applyNumberFormat="1" applyFont="1" applyFill="1" applyBorder="1"/>
    <xf numFmtId="167" fontId="20" fillId="0" borderId="1" xfId="1" applyNumberFormat="1" applyFont="1" applyBorder="1"/>
    <xf numFmtId="43" fontId="10" fillId="5" borderId="1" xfId="1" applyNumberFormat="1" applyFont="1" applyFill="1" applyBorder="1"/>
    <xf numFmtId="43" fontId="10" fillId="0" borderId="1" xfId="1" applyNumberFormat="1" applyFont="1" applyBorder="1"/>
    <xf numFmtId="0" fontId="31" fillId="0" borderId="1" xfId="0" applyFont="1" applyBorder="1"/>
    <xf numFmtId="3" fontId="20" fillId="0" borderId="1" xfId="0" applyNumberFormat="1" applyFont="1" applyBorder="1"/>
    <xf numFmtId="4" fontId="2" fillId="0" borderId="1" xfId="0" applyNumberFormat="1" applyFont="1" applyBorder="1"/>
    <xf numFmtId="164" fontId="2" fillId="0" borderId="1" xfId="0" applyNumberFormat="1" applyFont="1" applyBorder="1"/>
    <xf numFmtId="170" fontId="2" fillId="0" borderId="1" xfId="0" applyNumberFormat="1" applyFont="1" applyBorder="1"/>
    <xf numFmtId="167" fontId="8" fillId="0" borderId="1" xfId="1" applyNumberFormat="1" applyFont="1" applyFill="1" applyBorder="1" applyAlignment="1">
      <alignment horizontal="right"/>
    </xf>
    <xf numFmtId="10" fontId="0" fillId="0" borderId="1" xfId="3" applyNumberFormat="1" applyFont="1" applyFill="1" applyBorder="1"/>
    <xf numFmtId="43" fontId="10" fillId="5" borderId="1" xfId="1" applyNumberFormat="1" applyFont="1" applyFill="1" applyBorder="1" applyAlignment="1">
      <alignment horizontal="left"/>
    </xf>
    <xf numFmtId="164" fontId="2" fillId="0" borderId="1" xfId="1" applyFont="1" applyBorder="1"/>
    <xf numFmtId="0" fontId="31" fillId="0" borderId="2" xfId="0" applyFont="1" applyBorder="1"/>
    <xf numFmtId="43" fontId="20" fillId="0" borderId="2" xfId="1" applyNumberFormat="1" applyFont="1" applyBorder="1"/>
    <xf numFmtId="0" fontId="20" fillId="0" borderId="2" xfId="0" applyFont="1" applyBorder="1"/>
    <xf numFmtId="43" fontId="20" fillId="0" borderId="3" xfId="1" applyNumberFormat="1" applyFont="1" applyBorder="1"/>
    <xf numFmtId="0" fontId="2" fillId="0" borderId="3" xfId="0" applyFont="1" applyBorder="1"/>
    <xf numFmtId="43" fontId="20" fillId="0" borderId="4" xfId="1" applyNumberFormat="1" applyFont="1" applyBorder="1"/>
    <xf numFmtId="0" fontId="20" fillId="0" borderId="5" xfId="0" applyFont="1" applyBorder="1"/>
    <xf numFmtId="0" fontId="32" fillId="0" borderId="1" xfId="0" applyFont="1" applyBorder="1" applyAlignment="1">
      <alignment vertical="center"/>
    </xf>
    <xf numFmtId="0" fontId="3" fillId="0" borderId="1" xfId="0" applyFont="1" applyBorder="1"/>
    <xf numFmtId="164" fontId="0" fillId="0" borderId="1" xfId="1" applyFont="1" applyFill="1" applyBorder="1"/>
    <xf numFmtId="43" fontId="20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167" fontId="18" fillId="0" borderId="1" xfId="0" applyNumberFormat="1" applyFont="1" applyBorder="1" applyAlignment="1">
      <alignment horizontal="right"/>
    </xf>
    <xf numFmtId="43" fontId="10" fillId="0" borderId="1" xfId="1" applyNumberFormat="1" applyFont="1" applyFill="1" applyBorder="1" applyAlignment="1">
      <alignment horizontal="right"/>
    </xf>
    <xf numFmtId="175" fontId="14" fillId="0" borderId="1" xfId="1" applyNumberFormat="1" applyFont="1" applyFill="1" applyBorder="1" applyAlignment="1">
      <alignment horizontal="right"/>
    </xf>
    <xf numFmtId="43" fontId="10" fillId="0" borderId="1" xfId="1" applyNumberFormat="1" applyFont="1" applyFill="1" applyBorder="1"/>
    <xf numFmtId="0" fontId="33" fillId="9" borderId="0" xfId="5"/>
    <xf numFmtId="0" fontId="33" fillId="9" borderId="1" xfId="5" applyBorder="1"/>
    <xf numFmtId="0" fontId="14" fillId="5" borderId="1" xfId="0" applyFont="1" applyFill="1" applyBorder="1" applyAlignment="1">
      <alignment horizontal="right"/>
    </xf>
    <xf numFmtId="0" fontId="3" fillId="5" borderId="1" xfId="0" applyFont="1" applyFill="1" applyBorder="1"/>
    <xf numFmtId="167" fontId="14" fillId="5" borderId="1" xfId="0" applyNumberFormat="1" applyFont="1" applyFill="1" applyBorder="1" applyAlignment="1">
      <alignment horizontal="right"/>
    </xf>
    <xf numFmtId="43" fontId="14" fillId="8" borderId="1" xfId="0" applyNumberFormat="1" applyFont="1" applyFill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0" fillId="4" borderId="8" xfId="0" applyFont="1" applyFill="1" applyBorder="1" applyAlignment="1">
      <alignment horizontal="center" wrapText="1"/>
    </xf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7" fillId="0" borderId="12" xfId="0" applyFont="1" applyBorder="1" applyAlignment="1">
      <alignment horizontal="right"/>
    </xf>
    <xf numFmtId="0" fontId="7" fillId="8" borderId="12" xfId="0" applyFont="1" applyFill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43" fontId="20" fillId="0" borderId="1" xfId="0" applyNumberFormat="1" applyFont="1" applyBorder="1"/>
    <xf numFmtId="167" fontId="14" fillId="0" borderId="1" xfId="0" applyNumberFormat="1" applyFont="1" applyBorder="1"/>
    <xf numFmtId="0" fontId="10" fillId="5" borderId="2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43" fontId="10" fillId="0" borderId="1" xfId="1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3" fontId="26" fillId="0" borderId="1" xfId="1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4" fillId="5" borderId="9" xfId="0" applyFont="1" applyFill="1" applyBorder="1" applyAlignment="1">
      <alignment horizontal="center" wrapText="1"/>
    </xf>
    <xf numFmtId="0" fontId="34" fillId="5" borderId="10" xfId="0" applyFont="1" applyFill="1" applyBorder="1" applyAlignment="1">
      <alignment horizontal="center" wrapText="1"/>
    </xf>
    <xf numFmtId="0" fontId="34" fillId="5" borderId="11" xfId="0" applyFont="1" applyFill="1" applyBorder="1" applyAlignment="1">
      <alignment horizontal="center" wrapText="1"/>
    </xf>
  </cellXfs>
  <cellStyles count="6">
    <cellStyle name="Accent5" xfId="5" builtinId="45"/>
    <cellStyle name="Comma" xfId="1" builtinId="3"/>
    <cellStyle name="Hyperlink" xfId="2" builtinId="8"/>
    <cellStyle name="Normal" xfId="0" builtinId="0"/>
    <cellStyle name="Normal 2" xfId="4" xr:uid="{D28ECE94-4F7C-4758-9933-62456058C5A5}"/>
    <cellStyle name="Percent" xfId="3" builtinId="5"/>
  </cellStyles>
  <dxfs count="18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93"/>
  <sheetViews>
    <sheetView tabSelected="1" zoomScale="68" zoomScaleNormal="100" workbookViewId="0">
      <selection activeCell="F7" sqref="F7"/>
    </sheetView>
  </sheetViews>
  <sheetFormatPr defaultColWidth="8.81640625" defaultRowHeight="14.5" x14ac:dyDescent="0.35"/>
  <cols>
    <col min="1" max="1" width="24.36328125" style="39" customWidth="1"/>
    <col min="2" max="2" width="20" style="39" customWidth="1"/>
    <col min="3" max="3" width="29.81640625" style="39" customWidth="1"/>
    <col min="4" max="4" width="26" style="39" customWidth="1"/>
    <col min="5" max="5" width="15.26953125" style="39" customWidth="1"/>
    <col min="6" max="6" width="21.36328125" style="39" customWidth="1"/>
    <col min="7" max="7" width="27.08984375" style="104" hidden="1" customWidth="1"/>
    <col min="8" max="8" width="11.26953125" style="104" hidden="1" customWidth="1"/>
    <col min="9" max="9" width="2.26953125" style="104" hidden="1" customWidth="1"/>
    <col min="10" max="10" width="36" style="104" customWidth="1"/>
    <col min="11" max="11" width="25.36328125" style="104" bestFit="1" customWidth="1"/>
    <col min="12" max="12" width="0.81640625" style="39" customWidth="1"/>
    <col min="13" max="13" width="27.81640625" style="39" customWidth="1"/>
    <col min="14" max="14" width="0.7265625" style="39" customWidth="1"/>
    <col min="15" max="15" width="21.36328125" style="39" customWidth="1"/>
    <col min="16" max="16" width="27.08984375" style="104" hidden="1" customWidth="1"/>
    <col min="17" max="17" width="11.26953125" style="104" hidden="1" customWidth="1"/>
    <col min="18" max="18" width="2.26953125" style="104" hidden="1" customWidth="1"/>
    <col min="19" max="19" width="36" style="104" customWidth="1"/>
    <col min="20" max="20" width="25.36328125" style="104" bestFit="1" customWidth="1"/>
    <col min="21" max="21" width="0.81640625" style="39" customWidth="1"/>
    <col min="22" max="22" width="27.81640625" style="39" customWidth="1"/>
    <col min="23" max="23" width="24.08984375" style="39" customWidth="1"/>
    <col min="24" max="24" width="11.26953125" style="39" hidden="1" customWidth="1"/>
    <col min="25" max="25" width="11.81640625" style="39" customWidth="1"/>
    <col min="26" max="26" width="4.36328125" style="39" customWidth="1"/>
    <col min="27" max="27" width="20" style="39" bestFit="1" customWidth="1"/>
    <col min="28" max="28" width="18.6328125" style="39" customWidth="1"/>
    <col min="29" max="29" width="16.26953125" style="39" customWidth="1"/>
    <col min="30" max="30" width="28.7265625" style="39" hidden="1" customWidth="1"/>
    <col min="31" max="31" width="8.81640625" style="39" customWidth="1"/>
    <col min="32" max="16384" width="8.81640625" style="39"/>
  </cols>
  <sheetData>
    <row r="1" spans="1:22" x14ac:dyDescent="0.35">
      <c r="A1" s="22" t="s">
        <v>0</v>
      </c>
      <c r="B1" s="37"/>
      <c r="C1" s="37"/>
      <c r="D1" s="37"/>
      <c r="E1" s="37"/>
      <c r="F1" s="37"/>
      <c r="G1" s="38"/>
      <c r="H1" s="38"/>
      <c r="I1" s="38"/>
      <c r="J1" s="38"/>
      <c r="K1" s="38"/>
      <c r="L1" s="37"/>
      <c r="M1" s="37"/>
      <c r="O1" s="37"/>
      <c r="P1" s="38"/>
      <c r="Q1" s="38"/>
      <c r="R1" s="38"/>
      <c r="S1" s="38"/>
      <c r="T1" s="38"/>
      <c r="U1" s="37"/>
      <c r="V1" s="37"/>
    </row>
    <row r="2" spans="1:22" x14ac:dyDescent="0.35">
      <c r="A2" s="40" t="s">
        <v>1</v>
      </c>
      <c r="B2" s="41"/>
      <c r="C2" s="42"/>
      <c r="D2" s="42"/>
      <c r="E2" s="37"/>
      <c r="F2" s="37"/>
      <c r="G2" s="38"/>
      <c r="H2" s="38"/>
      <c r="I2" s="22"/>
      <c r="J2" s="38"/>
      <c r="K2" s="38"/>
      <c r="L2" s="37"/>
      <c r="M2" s="37"/>
      <c r="O2" s="37"/>
      <c r="P2" s="38"/>
      <c r="Q2" s="38"/>
      <c r="R2" s="22"/>
      <c r="S2" s="38"/>
      <c r="T2" s="38"/>
      <c r="U2" s="37"/>
      <c r="V2" s="37"/>
    </row>
    <row r="3" spans="1:22" x14ac:dyDescent="0.35">
      <c r="A3" s="40" t="s">
        <v>2</v>
      </c>
      <c r="B3" s="41"/>
      <c r="C3" s="42"/>
      <c r="D3" s="42"/>
      <c r="E3" s="37"/>
      <c r="F3" s="37"/>
      <c r="G3" s="38"/>
      <c r="H3" s="38"/>
      <c r="I3" s="38"/>
      <c r="J3" s="43"/>
      <c r="K3" s="38"/>
      <c r="L3" s="37"/>
      <c r="M3" s="37"/>
      <c r="O3" s="37"/>
      <c r="P3" s="38"/>
      <c r="Q3" s="38"/>
      <c r="R3" s="38"/>
      <c r="S3" s="43"/>
      <c r="T3" s="38"/>
      <c r="U3" s="37"/>
      <c r="V3" s="37"/>
    </row>
    <row r="4" spans="1:22" x14ac:dyDescent="0.35">
      <c r="A4" s="44" t="s">
        <v>3</v>
      </c>
      <c r="B4" s="37"/>
      <c r="C4" s="37"/>
      <c r="D4" s="37"/>
      <c r="E4" s="37"/>
      <c r="F4" s="37"/>
      <c r="G4" s="38"/>
      <c r="H4" s="38"/>
      <c r="I4" s="38" t="s">
        <v>0</v>
      </c>
      <c r="J4" s="43"/>
      <c r="K4" s="38"/>
      <c r="L4" s="37"/>
      <c r="M4" s="37"/>
      <c r="O4" s="37"/>
      <c r="P4" s="38"/>
      <c r="Q4" s="38"/>
      <c r="R4" s="38" t="s">
        <v>0</v>
      </c>
      <c r="S4" s="43"/>
      <c r="T4" s="38"/>
      <c r="U4" s="37"/>
      <c r="V4" s="37"/>
    </row>
    <row r="5" spans="1:22" x14ac:dyDescent="0.35">
      <c r="A5" s="45"/>
      <c r="B5" s="46" t="s">
        <v>4</v>
      </c>
      <c r="C5" s="45"/>
      <c r="D5" s="45"/>
      <c r="F5" s="45"/>
      <c r="G5" s="45"/>
      <c r="H5" s="45" t="s">
        <v>0</v>
      </c>
      <c r="I5" s="38"/>
      <c r="J5" s="43"/>
      <c r="K5" s="38"/>
      <c r="L5" s="37"/>
      <c r="M5" s="37"/>
      <c r="O5" s="45"/>
      <c r="P5" s="45"/>
      <c r="Q5" s="45" t="s">
        <v>0</v>
      </c>
      <c r="R5" s="38"/>
      <c r="S5" s="43"/>
      <c r="T5" s="38"/>
      <c r="U5" s="37"/>
      <c r="V5" s="37"/>
    </row>
    <row r="6" spans="1:22" x14ac:dyDescent="0.35">
      <c r="A6" s="47"/>
      <c r="B6" s="48" t="s">
        <v>88</v>
      </c>
      <c r="C6" s="49"/>
      <c r="D6" s="49"/>
      <c r="F6" s="45"/>
      <c r="G6" s="45"/>
      <c r="H6" s="45"/>
      <c r="I6" s="38"/>
      <c r="J6" s="50"/>
      <c r="K6" s="50"/>
      <c r="L6" s="37"/>
      <c r="M6" s="37"/>
      <c r="O6" s="45"/>
      <c r="P6" s="45"/>
      <c r="Q6" s="45"/>
      <c r="R6" s="38"/>
      <c r="S6" s="50"/>
      <c r="T6" s="50"/>
      <c r="U6" s="37"/>
      <c r="V6" s="37"/>
    </row>
    <row r="7" spans="1:22" x14ac:dyDescent="0.35">
      <c r="A7" s="46"/>
      <c r="B7" s="48" t="s">
        <v>87</v>
      </c>
      <c r="C7" s="49"/>
      <c r="D7" s="49"/>
      <c r="F7" s="45"/>
      <c r="G7" s="45" t="s">
        <v>96</v>
      </c>
      <c r="H7" s="45"/>
      <c r="I7" s="38"/>
      <c r="J7" s="43"/>
      <c r="K7" s="38"/>
      <c r="L7" s="37"/>
      <c r="M7" s="37"/>
      <c r="O7" s="45"/>
      <c r="P7" s="45" t="s">
        <v>96</v>
      </c>
      <c r="Q7" s="45"/>
      <c r="R7" s="38"/>
      <c r="S7" s="43"/>
      <c r="T7" s="38"/>
      <c r="U7" s="37"/>
      <c r="V7" s="37"/>
    </row>
    <row r="8" spans="1:22" x14ac:dyDescent="0.35">
      <c r="A8" s="49"/>
      <c r="B8" s="46" t="s">
        <v>5</v>
      </c>
      <c r="C8" s="49"/>
      <c r="D8" s="49"/>
      <c r="E8" s="49"/>
      <c r="F8" s="37"/>
      <c r="G8" s="50">
        <v>0</v>
      </c>
      <c r="H8" s="38"/>
      <c r="I8" s="38"/>
      <c r="J8" s="43"/>
      <c r="K8" s="50"/>
      <c r="L8" s="37"/>
      <c r="M8" s="37"/>
      <c r="O8" s="37"/>
      <c r="P8" s="50">
        <v>0</v>
      </c>
      <c r="Q8" s="38"/>
      <c r="R8" s="38"/>
      <c r="S8" s="43"/>
      <c r="T8" s="50"/>
      <c r="U8" s="37"/>
      <c r="V8" s="37"/>
    </row>
    <row r="9" spans="1:22" x14ac:dyDescent="0.35">
      <c r="A9" s="49"/>
      <c r="B9" s="46"/>
      <c r="C9" s="45"/>
      <c r="D9" s="45"/>
      <c r="E9" s="45"/>
      <c r="F9" s="45"/>
      <c r="G9" s="51"/>
      <c r="H9" s="51"/>
      <c r="I9" s="45"/>
      <c r="J9" s="45"/>
      <c r="K9" s="38"/>
      <c r="L9" s="37"/>
      <c r="M9" s="37"/>
      <c r="O9" s="45"/>
      <c r="P9" s="51"/>
      <c r="Q9" s="51"/>
      <c r="R9" s="45"/>
      <c r="S9" s="45"/>
      <c r="T9" s="38"/>
      <c r="U9" s="37"/>
      <c r="V9" s="37"/>
    </row>
    <row r="10" spans="1:22" x14ac:dyDescent="0.35">
      <c r="A10" s="49"/>
      <c r="B10" s="46"/>
      <c r="C10" s="44"/>
      <c r="D10" s="44"/>
      <c r="E10" s="45"/>
      <c r="F10" s="45"/>
      <c r="G10" s="51"/>
      <c r="H10" s="51"/>
      <c r="I10" s="45"/>
      <c r="J10" s="45"/>
      <c r="K10" s="38"/>
      <c r="L10" s="37"/>
      <c r="M10" s="37"/>
      <c r="O10" s="45"/>
      <c r="P10" s="51"/>
      <c r="Q10" s="51"/>
      <c r="R10" s="45"/>
      <c r="S10" s="45"/>
      <c r="T10" s="38"/>
      <c r="U10" s="37"/>
      <c r="V10" s="37"/>
    </row>
    <row r="11" spans="1:22" x14ac:dyDescent="0.35">
      <c r="A11" s="49"/>
      <c r="B11" s="49"/>
      <c r="C11" s="49"/>
      <c r="D11" s="49"/>
      <c r="E11" s="49"/>
      <c r="F11" s="37"/>
      <c r="G11" s="52"/>
      <c r="H11" s="51"/>
      <c r="I11" s="51"/>
      <c r="J11" s="50"/>
      <c r="K11" s="53"/>
      <c r="L11" s="37"/>
      <c r="M11" s="37"/>
      <c r="O11" s="37"/>
      <c r="P11" s="52"/>
      <c r="Q11" s="51"/>
      <c r="R11" s="51"/>
      <c r="S11" s="50"/>
      <c r="T11" s="53"/>
      <c r="U11" s="37"/>
      <c r="V11" s="37"/>
    </row>
    <row r="12" spans="1:22" x14ac:dyDescent="0.35">
      <c r="A12" s="49"/>
      <c r="B12" s="49"/>
      <c r="C12" s="49"/>
      <c r="D12" s="49"/>
      <c r="E12" s="49"/>
      <c r="F12" s="43"/>
      <c r="G12" s="43">
        <v>151.85500000000002</v>
      </c>
      <c r="H12" s="51">
        <v>153.37355000000002</v>
      </c>
      <c r="I12" s="43"/>
      <c r="J12" s="38"/>
      <c r="K12" s="38"/>
      <c r="L12" s="37"/>
      <c r="M12" s="37"/>
      <c r="O12" s="43"/>
      <c r="P12" s="43">
        <v>151.85500000000002</v>
      </c>
      <c r="Q12" s="51">
        <v>153.37355000000002</v>
      </c>
      <c r="R12" s="43"/>
      <c r="S12" s="38"/>
      <c r="T12" s="38"/>
      <c r="U12" s="37"/>
      <c r="V12" s="37"/>
    </row>
    <row r="13" spans="1:22" x14ac:dyDescent="0.35">
      <c r="A13" s="49"/>
      <c r="E13" s="49"/>
      <c r="G13" s="43"/>
      <c r="H13" s="43"/>
      <c r="I13" s="43"/>
      <c r="J13" s="38"/>
      <c r="K13" s="49"/>
      <c r="L13" s="37"/>
      <c r="M13" s="37"/>
      <c r="P13" s="43"/>
      <c r="Q13" s="43"/>
      <c r="R13" s="43"/>
      <c r="S13" s="38"/>
      <c r="T13" s="49"/>
      <c r="U13" s="37"/>
      <c r="V13" s="37"/>
    </row>
    <row r="14" spans="1:22" x14ac:dyDescent="0.35">
      <c r="A14" s="54"/>
      <c r="B14" s="55"/>
      <c r="C14" s="55"/>
      <c r="D14" s="55"/>
      <c r="E14" s="55"/>
      <c r="F14" s="54" t="s">
        <v>0</v>
      </c>
      <c r="G14" s="55"/>
      <c r="H14" s="56"/>
      <c r="I14" s="57"/>
      <c r="J14" s="56"/>
      <c r="K14" s="55"/>
      <c r="L14" s="37"/>
      <c r="M14" s="37"/>
      <c r="O14" s="54" t="s">
        <v>0</v>
      </c>
      <c r="P14" s="55"/>
      <c r="Q14" s="56"/>
      <c r="R14" s="57"/>
      <c r="S14" s="56"/>
      <c r="T14" s="55"/>
      <c r="U14" s="37"/>
      <c r="V14" s="37"/>
    </row>
    <row r="15" spans="1:22" x14ac:dyDescent="0.35">
      <c r="A15" s="49"/>
      <c r="B15" s="49"/>
      <c r="C15" s="49"/>
      <c r="D15" s="49"/>
      <c r="E15" s="49"/>
      <c r="G15" s="43"/>
      <c r="H15" s="58"/>
      <c r="I15" s="43"/>
      <c r="J15" s="38"/>
      <c r="K15" s="38"/>
      <c r="L15" s="37"/>
      <c r="M15" s="37"/>
      <c r="P15" s="43"/>
      <c r="Q15" s="58"/>
      <c r="R15" s="43"/>
      <c r="S15" s="38"/>
      <c r="T15" s="38"/>
      <c r="U15" s="37"/>
      <c r="V15" s="37"/>
    </row>
    <row r="16" spans="1:22" x14ac:dyDescent="0.35">
      <c r="A16" s="41" t="s">
        <v>6</v>
      </c>
      <c r="B16" s="59">
        <f ca="1">TODAY()</f>
        <v>46209</v>
      </c>
      <c r="C16" s="49"/>
      <c r="D16" s="49"/>
      <c r="E16" s="49"/>
      <c r="F16" s="43"/>
      <c r="G16" s="60">
        <v>3</v>
      </c>
      <c r="H16" s="38"/>
      <c r="I16" s="57"/>
      <c r="J16" s="38"/>
      <c r="K16" s="38"/>
      <c r="L16" s="37"/>
      <c r="M16" s="37"/>
      <c r="O16" s="43"/>
      <c r="P16" s="60">
        <v>3</v>
      </c>
      <c r="Q16" s="38"/>
      <c r="R16" s="57"/>
      <c r="S16" s="38"/>
      <c r="T16" s="38"/>
      <c r="U16" s="37"/>
      <c r="V16" s="37"/>
    </row>
    <row r="17" spans="1:35" hidden="1" x14ac:dyDescent="0.35">
      <c r="A17" s="37"/>
      <c r="B17" s="37"/>
      <c r="C17" s="37"/>
      <c r="D17" s="37"/>
      <c r="E17" s="37"/>
      <c r="F17" s="61"/>
      <c r="G17" s="38"/>
      <c r="H17" s="62"/>
      <c r="I17" s="57"/>
      <c r="J17" s="63">
        <v>200</v>
      </c>
      <c r="K17" s="63">
        <v>200</v>
      </c>
      <c r="L17" s="37"/>
      <c r="M17" s="37"/>
      <c r="O17" s="61"/>
      <c r="P17" s="38"/>
      <c r="Q17" s="62"/>
      <c r="R17" s="57"/>
      <c r="S17" s="63">
        <v>300</v>
      </c>
      <c r="T17" s="63">
        <v>300</v>
      </c>
      <c r="U17" s="37"/>
      <c r="V17" s="37"/>
    </row>
    <row r="18" spans="1:35" x14ac:dyDescent="0.35">
      <c r="A18" s="37"/>
      <c r="B18" s="37"/>
      <c r="C18" s="37"/>
      <c r="D18" s="37"/>
      <c r="E18" s="37"/>
      <c r="F18" s="37"/>
      <c r="G18" s="38"/>
      <c r="H18" s="38"/>
      <c r="I18" s="57"/>
      <c r="J18" s="38"/>
      <c r="K18" s="38" t="s">
        <v>0</v>
      </c>
      <c r="L18" s="37"/>
      <c r="M18" s="37"/>
      <c r="O18" s="37"/>
      <c r="P18" s="38"/>
      <c r="Q18" s="38"/>
      <c r="R18" s="57"/>
      <c r="S18" s="38"/>
      <c r="T18" s="38" t="s">
        <v>0</v>
      </c>
      <c r="U18" s="37"/>
      <c r="V18" s="37"/>
    </row>
    <row r="19" spans="1:35" ht="14.5" customHeight="1" x14ac:dyDescent="0.3">
      <c r="A19" s="64" t="s">
        <v>7</v>
      </c>
      <c r="B19" s="37"/>
      <c r="C19" s="37"/>
      <c r="D19" s="37"/>
      <c r="E19" s="37"/>
      <c r="F19" s="163" t="s">
        <v>97</v>
      </c>
      <c r="G19" s="164"/>
      <c r="H19" s="164"/>
      <c r="I19" s="164"/>
      <c r="J19" s="164"/>
      <c r="K19" s="165"/>
      <c r="L19" s="37"/>
      <c r="M19" s="37"/>
      <c r="O19" s="163" t="s">
        <v>98</v>
      </c>
      <c r="P19" s="164"/>
      <c r="Q19" s="164"/>
      <c r="R19" s="164"/>
      <c r="S19" s="164"/>
      <c r="T19" s="165"/>
      <c r="U19" s="37"/>
      <c r="V19" s="37"/>
    </row>
    <row r="20" spans="1:35" x14ac:dyDescent="0.35">
      <c r="A20" s="37"/>
      <c r="B20" s="45" t="s">
        <v>8</v>
      </c>
      <c r="C20" s="45" t="s">
        <v>9</v>
      </c>
      <c r="D20" s="45"/>
      <c r="E20" s="45"/>
      <c r="F20" s="65"/>
      <c r="G20" s="66"/>
      <c r="H20" s="67"/>
      <c r="I20" s="68"/>
      <c r="J20" s="45" t="s">
        <v>8</v>
      </c>
      <c r="K20" s="45" t="s">
        <v>9</v>
      </c>
      <c r="L20" s="37"/>
      <c r="M20" s="37"/>
      <c r="O20" s="65"/>
      <c r="P20" s="66"/>
      <c r="Q20" s="67"/>
      <c r="R20" s="68"/>
      <c r="S20" s="45" t="s">
        <v>8</v>
      </c>
      <c r="T20" s="45" t="s">
        <v>9</v>
      </c>
      <c r="U20" s="37"/>
      <c r="V20" s="37"/>
      <c r="W20" s="166" t="s">
        <v>89</v>
      </c>
      <c r="X20" s="166"/>
      <c r="Y20" s="166"/>
      <c r="AA20" s="69" t="s">
        <v>94</v>
      </c>
      <c r="AB20" s="69" t="s">
        <v>95</v>
      </c>
      <c r="AC20" s="69"/>
      <c r="AD20" s="69" t="s">
        <v>92</v>
      </c>
    </row>
    <row r="21" spans="1:35" ht="14" hidden="1" x14ac:dyDescent="0.3">
      <c r="A21" s="37"/>
      <c r="B21" s="37"/>
      <c r="C21" s="37"/>
      <c r="D21" s="37"/>
      <c r="E21" s="37"/>
      <c r="F21" s="70"/>
      <c r="G21" s="71"/>
      <c r="H21" s="3"/>
      <c r="I21" s="51"/>
      <c r="J21" s="71"/>
      <c r="K21" s="3"/>
      <c r="L21" s="3"/>
      <c r="M21" s="3"/>
      <c r="O21" s="70"/>
      <c r="P21" s="71"/>
      <c r="Q21" s="3"/>
      <c r="R21" s="51"/>
      <c r="S21" s="71"/>
      <c r="T21" s="3"/>
      <c r="U21" s="3"/>
      <c r="V21" s="3"/>
      <c r="W21" s="72"/>
      <c r="X21" s="72"/>
    </row>
    <row r="22" spans="1:35" ht="14" hidden="1" x14ac:dyDescent="0.3">
      <c r="A22" s="37"/>
      <c r="B22" s="73"/>
      <c r="C22" s="74"/>
      <c r="D22" s="74"/>
      <c r="E22" s="37"/>
      <c r="F22" s="70" t="s">
        <v>10</v>
      </c>
      <c r="G22" s="71"/>
      <c r="H22" s="3"/>
      <c r="I22" s="51"/>
      <c r="J22" s="71"/>
      <c r="K22" s="75"/>
      <c r="L22" s="3"/>
      <c r="M22" s="3"/>
      <c r="O22" s="70" t="s">
        <v>10</v>
      </c>
      <c r="P22" s="71"/>
      <c r="Q22" s="3"/>
      <c r="R22" s="51"/>
      <c r="S22" s="71"/>
      <c r="T22" s="75"/>
      <c r="U22" s="3"/>
      <c r="V22" s="3"/>
    </row>
    <row r="23" spans="1:35" ht="14" x14ac:dyDescent="0.3">
      <c r="A23" s="37" t="s">
        <v>11</v>
      </c>
      <c r="B23" s="43">
        <f>POPULATE!G7</f>
        <v>1345</v>
      </c>
      <c r="C23" s="43">
        <f>POPULATE!H7</f>
        <v>1375</v>
      </c>
      <c r="D23" s="43"/>
      <c r="E23" s="43"/>
      <c r="F23" s="76"/>
      <c r="G23" s="77"/>
      <c r="H23" s="3"/>
      <c r="I23" s="43"/>
      <c r="J23" s="58"/>
      <c r="K23" s="58"/>
      <c r="L23" s="43"/>
      <c r="M23" s="43"/>
      <c r="N23" s="78"/>
      <c r="O23" s="76"/>
      <c r="P23" s="77"/>
      <c r="Q23" s="3"/>
      <c r="R23" s="43"/>
      <c r="S23" s="58"/>
      <c r="T23" s="58"/>
      <c r="U23" s="43"/>
      <c r="V23" s="43"/>
      <c r="AA23" s="78"/>
    </row>
    <row r="24" spans="1:35" ht="14" x14ac:dyDescent="0.3">
      <c r="A24" s="37"/>
      <c r="B24" s="43" t="s">
        <v>12</v>
      </c>
      <c r="C24" s="43"/>
      <c r="D24" s="43"/>
      <c r="E24" s="43"/>
      <c r="F24" s="3"/>
      <c r="G24" s="3" t="s">
        <v>13</v>
      </c>
      <c r="H24" s="43"/>
      <c r="I24" s="43"/>
      <c r="J24" s="75"/>
      <c r="K24" s="75"/>
      <c r="L24" s="43"/>
      <c r="M24" s="43"/>
      <c r="N24" s="78"/>
      <c r="O24" s="3"/>
      <c r="P24" s="3" t="s">
        <v>13</v>
      </c>
      <c r="Q24" s="43"/>
      <c r="R24" s="43"/>
      <c r="S24" s="75"/>
      <c r="T24" s="75"/>
      <c r="U24" s="43"/>
      <c r="V24" s="43"/>
      <c r="W24" s="39" t="s">
        <v>11</v>
      </c>
      <c r="Y24" s="79">
        <f>C23</f>
        <v>1375</v>
      </c>
      <c r="Z24" s="54"/>
      <c r="AA24" s="132">
        <f>Y24</f>
        <v>1375</v>
      </c>
      <c r="AB24" s="79">
        <f>AA24</f>
        <v>1375</v>
      </c>
      <c r="AD24" s="39" t="s">
        <v>91</v>
      </c>
    </row>
    <row r="25" spans="1:35" ht="14" x14ac:dyDescent="0.3">
      <c r="A25" s="37" t="s">
        <v>14</v>
      </c>
      <c r="B25" s="43">
        <f>B23*(J25-0.0075)</f>
        <v>1499.4059999999999</v>
      </c>
      <c r="C25" s="43">
        <f>+C23*(K25-0.0055)</f>
        <v>1590.6000000000001</v>
      </c>
      <c r="D25" s="43"/>
      <c r="E25" s="43"/>
      <c r="F25" s="19" t="s">
        <v>15</v>
      </c>
      <c r="G25" s="81">
        <f>POPULATE!G9</f>
        <v>1.1423000000000001</v>
      </c>
      <c r="H25" s="82">
        <f>+G25+0.03</f>
        <v>1.1723000000000001</v>
      </c>
      <c r="I25" s="82"/>
      <c r="J25" s="75">
        <f>+(G25-($J$17/10000))+0</f>
        <v>1.1223000000000001</v>
      </c>
      <c r="K25" s="75">
        <f>+(G25+($K$17/10000))+0</f>
        <v>1.1623000000000001</v>
      </c>
      <c r="L25" s="43" t="s">
        <v>16</v>
      </c>
      <c r="M25" s="83"/>
      <c r="N25" s="78"/>
      <c r="O25" s="19" t="s">
        <v>15</v>
      </c>
      <c r="P25" s="81">
        <f>G25</f>
        <v>1.1423000000000001</v>
      </c>
      <c r="Q25" s="82">
        <f>+P25+0.03</f>
        <v>1.1723000000000001</v>
      </c>
      <c r="R25" s="82"/>
      <c r="S25" s="75">
        <f>+(P25-($S$17/10000))+0</f>
        <v>1.1123000000000001</v>
      </c>
      <c r="T25" s="75">
        <f>+(P25+($T$17/10000))+0</f>
        <v>1.1723000000000001</v>
      </c>
      <c r="U25" s="43" t="s">
        <v>16</v>
      </c>
      <c r="V25" s="83"/>
      <c r="Y25" s="84"/>
      <c r="Z25" s="54"/>
      <c r="AA25" s="80"/>
      <c r="AB25" s="80"/>
    </row>
    <row r="26" spans="1:35" x14ac:dyDescent="0.35">
      <c r="A26" s="37"/>
      <c r="B26" s="37"/>
      <c r="C26" s="37"/>
      <c r="D26" s="37"/>
      <c r="E26" s="37"/>
      <c r="G26" s="81"/>
      <c r="I26" s="71"/>
      <c r="J26" s="3"/>
      <c r="K26" s="3"/>
      <c r="L26" s="3"/>
      <c r="M26" s="3"/>
      <c r="P26" s="81"/>
      <c r="R26" s="71"/>
      <c r="S26" s="3"/>
      <c r="T26" s="3"/>
      <c r="U26" s="3"/>
      <c r="V26" s="3"/>
      <c r="W26" s="39" t="s">
        <v>17</v>
      </c>
      <c r="X26" s="85">
        <f>G25+0.006</f>
        <v>1.1483000000000001</v>
      </c>
      <c r="Y26" s="86">
        <f>$Y$24*X26</f>
        <v>1578.9125000000001</v>
      </c>
      <c r="Z26" s="54"/>
      <c r="AA26" s="80">
        <f>$AA$24*X26</f>
        <v>1578.9125000000001</v>
      </c>
      <c r="AB26" s="80">
        <f>$AB$24*X26</f>
        <v>1578.9125000000001</v>
      </c>
      <c r="AD26" s="39" t="s">
        <v>91</v>
      </c>
    </row>
    <row r="27" spans="1:35" ht="14" x14ac:dyDescent="0.3">
      <c r="A27" s="37" t="s">
        <v>18</v>
      </c>
      <c r="B27" s="43">
        <f>+B23/K27</f>
        <v>8.143125264878611</v>
      </c>
      <c r="C27" s="43">
        <f>+C23/J27</f>
        <v>8.5846288318661426</v>
      </c>
      <c r="D27" s="58"/>
      <c r="E27" s="87"/>
      <c r="F27" s="19" t="s">
        <v>19</v>
      </c>
      <c r="G27" s="81">
        <f>POPULATE!G10</f>
        <v>162.16999999999999</v>
      </c>
      <c r="H27" s="82">
        <f>+G27+1</f>
        <v>163.16999999999999</v>
      </c>
      <c r="I27" s="52"/>
      <c r="J27" s="43">
        <f>+(G27-($J$17/100))+0</f>
        <v>160.16999999999999</v>
      </c>
      <c r="K27" s="43">
        <f>+(H27+($K$17/100))-0</f>
        <v>165.17</v>
      </c>
      <c r="L27" s="51" t="s">
        <v>20</v>
      </c>
      <c r="M27" s="51"/>
      <c r="O27" s="19" t="s">
        <v>19</v>
      </c>
      <c r="P27" s="81">
        <f t="shared" ref="P27:P43" si="0">G27</f>
        <v>162.16999999999999</v>
      </c>
      <c r="Q27" s="82">
        <f>+P27+1</f>
        <v>163.16999999999999</v>
      </c>
      <c r="R27" s="52"/>
      <c r="S27" s="43">
        <f>+(P27-($S$17/100))+0</f>
        <v>159.16999999999999</v>
      </c>
      <c r="T27" s="43">
        <f>+(Q27+($T$17/100))-0</f>
        <v>166.17</v>
      </c>
      <c r="U27" s="51" t="s">
        <v>20</v>
      </c>
      <c r="V27" s="51"/>
      <c r="X27" s="88"/>
      <c r="Y27" s="86"/>
      <c r="Z27" s="54"/>
      <c r="AA27" s="89"/>
      <c r="AB27" s="89"/>
      <c r="AC27" s="72"/>
    </row>
    <row r="28" spans="1:35" ht="14" x14ac:dyDescent="0.3">
      <c r="A28" s="37"/>
      <c r="B28" s="37"/>
      <c r="C28" s="37"/>
      <c r="D28" s="37"/>
      <c r="E28" s="37"/>
      <c r="F28" s="43"/>
      <c r="G28" s="81"/>
      <c r="H28" s="71"/>
      <c r="I28" s="71"/>
      <c r="J28" s="75"/>
      <c r="K28" s="75"/>
      <c r="L28" s="3"/>
      <c r="M28" s="3"/>
      <c r="O28" s="43"/>
      <c r="P28" s="81"/>
      <c r="Q28" s="71"/>
      <c r="R28" s="71"/>
      <c r="S28" s="75"/>
      <c r="T28" s="75"/>
      <c r="U28" s="3"/>
      <c r="V28" s="3"/>
      <c r="W28" s="39" t="s">
        <v>21</v>
      </c>
      <c r="X28" s="88">
        <f>G29+0.006</f>
        <v>1.3391999999999999</v>
      </c>
      <c r="Y28" s="86">
        <f>$Y$24*X28</f>
        <v>1841.3999999999999</v>
      </c>
      <c r="Z28" s="54"/>
      <c r="AA28" s="80">
        <f>$AA$24*X28</f>
        <v>1841.3999999999999</v>
      </c>
      <c r="AB28" s="80">
        <f>$AB$24*X28</f>
        <v>1841.3999999999999</v>
      </c>
      <c r="AC28" s="72"/>
      <c r="AD28" s="39" t="s">
        <v>91</v>
      </c>
    </row>
    <row r="29" spans="1:35" ht="14" x14ac:dyDescent="0.3">
      <c r="A29" s="37" t="s">
        <v>21</v>
      </c>
      <c r="B29" s="51">
        <f>+B23*(J29-0.0075)</f>
        <v>1756.1664999999998</v>
      </c>
      <c r="C29" s="51">
        <f>+C23*(K29-0.0055)</f>
        <v>1853.0874999999999</v>
      </c>
      <c r="D29" s="51"/>
      <c r="E29" s="43"/>
      <c r="F29" s="3" t="s">
        <v>22</v>
      </c>
      <c r="G29" s="81">
        <f>POPULATE!G11</f>
        <v>1.3331999999999999</v>
      </c>
      <c r="H29" s="82">
        <f>+G29+0.03</f>
        <v>1.3632</v>
      </c>
      <c r="I29" s="82"/>
      <c r="J29" s="75">
        <f>+(G29-($J$17/10000))+0</f>
        <v>1.3131999999999999</v>
      </c>
      <c r="K29" s="75">
        <f>+(G29+($K$17/10000))-0</f>
        <v>1.3532</v>
      </c>
      <c r="L29" s="51" t="s">
        <v>23</v>
      </c>
      <c r="M29" s="51"/>
      <c r="N29" s="78"/>
      <c r="O29" s="3" t="s">
        <v>22</v>
      </c>
      <c r="P29" s="81">
        <f t="shared" si="0"/>
        <v>1.3331999999999999</v>
      </c>
      <c r="Q29" s="82">
        <f>+P29+0.03</f>
        <v>1.3632</v>
      </c>
      <c r="R29" s="82"/>
      <c r="S29" s="75">
        <f>+(P29-($S$17/10000))+0</f>
        <v>1.3031999999999999</v>
      </c>
      <c r="T29" s="75">
        <f>+(P29+($T$17/10000))-0</f>
        <v>1.3632</v>
      </c>
      <c r="U29" s="51" t="s">
        <v>23</v>
      </c>
      <c r="V29" s="51"/>
      <c r="X29" s="88"/>
      <c r="Y29" s="86"/>
      <c r="Z29" s="90"/>
      <c r="AA29" s="80"/>
      <c r="AB29" s="80"/>
      <c r="AC29" s="91"/>
      <c r="AE29" s="78"/>
      <c r="AF29" s="78"/>
      <c r="AG29" s="78"/>
      <c r="AH29" s="78"/>
      <c r="AI29" s="78"/>
    </row>
    <row r="30" spans="1:35" ht="14" x14ac:dyDescent="0.3">
      <c r="A30" s="37"/>
      <c r="B30" s="51"/>
      <c r="C30" s="37"/>
      <c r="D30" s="37"/>
      <c r="E30" s="43"/>
      <c r="F30" s="19"/>
      <c r="G30" s="81"/>
      <c r="H30" s="71"/>
      <c r="I30" s="71"/>
      <c r="J30" s="75"/>
      <c r="K30" s="75"/>
      <c r="L30" s="3"/>
      <c r="M30" s="34"/>
      <c r="N30" s="78"/>
      <c r="O30" s="19"/>
      <c r="P30" s="81"/>
      <c r="Q30" s="71"/>
      <c r="R30" s="71"/>
      <c r="S30" s="75"/>
      <c r="T30" s="75"/>
      <c r="U30" s="3"/>
      <c r="V30" s="34"/>
      <c r="W30" s="39" t="s">
        <v>24</v>
      </c>
      <c r="X30" s="88">
        <f>G31-0.006</f>
        <v>0.79900000000000004</v>
      </c>
      <c r="Y30" s="86">
        <f>$Y$24/X30</f>
        <v>1720.90112640801</v>
      </c>
      <c r="Z30" s="54"/>
      <c r="AA30" s="80">
        <f>$AA$24/X30</f>
        <v>1720.90112640801</v>
      </c>
      <c r="AB30" s="80">
        <f>$AB$24/X30</f>
        <v>1720.90112640801</v>
      </c>
      <c r="AC30" s="91"/>
      <c r="AD30" s="39" t="s">
        <v>91</v>
      </c>
      <c r="AE30" s="78"/>
      <c r="AF30" s="78"/>
      <c r="AG30" s="78"/>
      <c r="AH30" s="78"/>
      <c r="AI30" s="78"/>
    </row>
    <row r="31" spans="1:35" ht="14" x14ac:dyDescent="0.3">
      <c r="A31" s="37" t="s">
        <v>24</v>
      </c>
      <c r="B31" s="51">
        <f>+B23/K31</f>
        <v>1630.3030303030303</v>
      </c>
      <c r="C31" s="51">
        <f>+C23/J31</f>
        <v>1751.592356687898</v>
      </c>
      <c r="D31" s="51"/>
      <c r="E31" s="43"/>
      <c r="F31" s="3" t="s">
        <v>25</v>
      </c>
      <c r="G31" s="81">
        <f>POPULATE!G12</f>
        <v>0.80500000000000005</v>
      </c>
      <c r="H31" s="82">
        <f>+G31+0.04</f>
        <v>0.84500000000000008</v>
      </c>
      <c r="I31" s="82"/>
      <c r="J31" s="75">
        <f>+(G31-($J$17/10000))+0</f>
        <v>0.78500000000000003</v>
      </c>
      <c r="K31" s="75">
        <f>+(G31+($K$17/10000))-0</f>
        <v>0.82500000000000007</v>
      </c>
      <c r="L31" s="51" t="s">
        <v>26</v>
      </c>
      <c r="M31" s="51"/>
      <c r="N31" s="78"/>
      <c r="O31" s="3" t="s">
        <v>25</v>
      </c>
      <c r="P31" s="81">
        <f t="shared" si="0"/>
        <v>0.80500000000000005</v>
      </c>
      <c r="Q31" s="82">
        <f>+P31+0.04</f>
        <v>0.84500000000000008</v>
      </c>
      <c r="R31" s="82"/>
      <c r="S31" s="75">
        <f>+(P31-($S$17/10000))+0</f>
        <v>0.77500000000000002</v>
      </c>
      <c r="T31" s="75">
        <f>+(P31+($T$17/10000))-0</f>
        <v>0.83500000000000008</v>
      </c>
      <c r="U31" s="51" t="s">
        <v>26</v>
      </c>
      <c r="V31" s="51"/>
      <c r="X31" s="88"/>
      <c r="Y31" s="86"/>
      <c r="Z31" s="54"/>
      <c r="AA31" s="80"/>
      <c r="AB31" s="80"/>
      <c r="AC31" s="91"/>
      <c r="AE31" s="78"/>
      <c r="AF31" s="78"/>
      <c r="AG31" s="78"/>
      <c r="AH31" s="78"/>
      <c r="AI31" s="78"/>
    </row>
    <row r="32" spans="1:35" ht="14" x14ac:dyDescent="0.3">
      <c r="A32" s="37"/>
      <c r="B32" s="51"/>
      <c r="C32" s="51"/>
      <c r="D32" s="51"/>
      <c r="E32" s="43"/>
      <c r="F32" s="43"/>
      <c r="G32" s="81"/>
      <c r="H32" s="71"/>
      <c r="I32" s="71"/>
      <c r="J32" s="75"/>
      <c r="K32" s="75"/>
      <c r="L32" s="3"/>
      <c r="M32" s="3"/>
      <c r="N32" s="78"/>
      <c r="O32" s="43"/>
      <c r="P32" s="81"/>
      <c r="Q32" s="71"/>
      <c r="R32" s="71"/>
      <c r="S32" s="75"/>
      <c r="T32" s="75"/>
      <c r="U32" s="3"/>
      <c r="V32" s="3"/>
      <c r="W32" s="39" t="s">
        <v>27</v>
      </c>
      <c r="X32" s="88">
        <f>G33-0.07</f>
        <v>16.176099999999998</v>
      </c>
      <c r="Y32" s="86">
        <f>$Y$24/X32</f>
        <v>85.001947317338548</v>
      </c>
      <c r="Z32" s="54"/>
      <c r="AA32" s="80">
        <f>$AA$24/X32</f>
        <v>85.001947317338548</v>
      </c>
      <c r="AB32" s="80">
        <f>$AB$24/X32</f>
        <v>85.001947317338548</v>
      </c>
      <c r="AC32" s="92"/>
      <c r="AD32" s="39" t="s">
        <v>91</v>
      </c>
      <c r="AE32" s="78"/>
      <c r="AF32" s="78"/>
      <c r="AG32" s="78"/>
      <c r="AH32" s="78"/>
      <c r="AI32" s="78"/>
    </row>
    <row r="33" spans="1:35" ht="14" x14ac:dyDescent="0.3">
      <c r="A33" s="37" t="s">
        <v>27</v>
      </c>
      <c r="B33" s="51">
        <f>+B23/K33</f>
        <v>82.232316994882652</v>
      </c>
      <c r="C33" s="51">
        <f>+C23/J33</f>
        <v>85.186263637546404</v>
      </c>
      <c r="D33" s="51"/>
      <c r="E33" s="43"/>
      <c r="F33" s="20" t="s">
        <v>28</v>
      </c>
      <c r="G33" s="81">
        <f>POPULATE!G13</f>
        <v>16.246099999999998</v>
      </c>
      <c r="H33" s="82">
        <f>+G33+0.04</f>
        <v>16.286099999999998</v>
      </c>
      <c r="I33" s="93"/>
      <c r="J33" s="75">
        <f>+(G33-($J$17/10000))-0.085</f>
        <v>16.141099999999998</v>
      </c>
      <c r="K33" s="75">
        <f>+(H33+($K$17/10000))+0.05</f>
        <v>16.356099999999998</v>
      </c>
      <c r="L33" s="3" t="s">
        <v>29</v>
      </c>
      <c r="M33" s="3"/>
      <c r="N33" s="78"/>
      <c r="O33" s="20" t="s">
        <v>28</v>
      </c>
      <c r="P33" s="81">
        <f t="shared" si="0"/>
        <v>16.246099999999998</v>
      </c>
      <c r="Q33" s="82">
        <f>+P33+0.04</f>
        <v>16.286099999999998</v>
      </c>
      <c r="R33" s="93"/>
      <c r="S33" s="75">
        <f>+(P33-($S$17/10000))-0.085</f>
        <v>16.131099999999996</v>
      </c>
      <c r="T33" s="75">
        <f>+(Q33+($T$17/10000))+0.05</f>
        <v>16.366099999999999</v>
      </c>
      <c r="U33" s="3" t="s">
        <v>29</v>
      </c>
      <c r="V33" s="3"/>
      <c r="X33" s="88"/>
      <c r="Y33" s="86"/>
      <c r="Z33" s="54"/>
      <c r="AA33" s="80"/>
      <c r="AB33" s="80"/>
      <c r="AC33" s="91"/>
      <c r="AE33" s="78"/>
      <c r="AF33" s="78"/>
      <c r="AG33" s="78"/>
      <c r="AH33" s="78"/>
      <c r="AI33" s="78"/>
    </row>
    <row r="34" spans="1:35" ht="14" x14ac:dyDescent="0.3">
      <c r="A34" s="37"/>
      <c r="B34" s="51"/>
      <c r="C34" s="51"/>
      <c r="D34" s="51"/>
      <c r="E34" s="43"/>
      <c r="F34" s="43"/>
      <c r="G34" s="81"/>
      <c r="H34" s="71"/>
      <c r="I34" s="71"/>
      <c r="J34" s="75"/>
      <c r="K34" s="75"/>
      <c r="L34" s="3"/>
      <c r="M34" s="3"/>
      <c r="O34" s="43"/>
      <c r="P34" s="81"/>
      <c r="Q34" s="71"/>
      <c r="R34" s="71"/>
      <c r="S34" s="75"/>
      <c r="T34" s="75"/>
      <c r="U34" s="3"/>
      <c r="V34" s="3"/>
      <c r="W34" s="39" t="s">
        <v>30</v>
      </c>
      <c r="X34" s="88">
        <f>G37-0.006</f>
        <v>1.4152</v>
      </c>
      <c r="Y34" s="86">
        <f>$Y$24/X34</f>
        <v>971.59412097230074</v>
      </c>
      <c r="Z34" s="54"/>
      <c r="AA34" s="80">
        <f>$AA$24/X34</f>
        <v>971.59412097230074</v>
      </c>
      <c r="AB34" s="80">
        <f>$AB$24/X34</f>
        <v>971.59412097230074</v>
      </c>
      <c r="AC34" s="78"/>
      <c r="AD34" s="39" t="s">
        <v>91</v>
      </c>
      <c r="AE34" s="78"/>
      <c r="AF34" s="78"/>
      <c r="AG34" s="78"/>
      <c r="AH34" s="78"/>
      <c r="AI34" s="78"/>
    </row>
    <row r="35" spans="1:35" ht="14" x14ac:dyDescent="0.3">
      <c r="A35" s="37" t="s">
        <v>31</v>
      </c>
      <c r="B35" s="51">
        <f>+B23/K35</f>
        <v>204.94301212896937</v>
      </c>
      <c r="C35" s="51">
        <f>+C23/J35</f>
        <v>210.79904335561415</v>
      </c>
      <c r="D35" s="51"/>
      <c r="E35" s="43"/>
      <c r="F35" s="20" t="s">
        <v>32</v>
      </c>
      <c r="G35" s="81">
        <f>POPULATE!G14</f>
        <v>6.5427999999999997</v>
      </c>
      <c r="H35" s="82">
        <f>+G35+0.04</f>
        <v>6.5827999999999998</v>
      </c>
      <c r="I35" s="93"/>
      <c r="J35" s="75">
        <f>+(G35-($J$17/10000))-0</f>
        <v>6.5228000000000002</v>
      </c>
      <c r="K35" s="75">
        <f>+(G35+($K$17/10000))-0</f>
        <v>6.5627999999999993</v>
      </c>
      <c r="L35" s="51" t="s">
        <v>33</v>
      </c>
      <c r="M35" s="51"/>
      <c r="N35" s="78"/>
      <c r="O35" s="20" t="s">
        <v>32</v>
      </c>
      <c r="P35" s="81">
        <f t="shared" si="0"/>
        <v>6.5427999999999997</v>
      </c>
      <c r="Q35" s="82">
        <f>+P35+0.04</f>
        <v>6.5827999999999998</v>
      </c>
      <c r="R35" s="93"/>
      <c r="S35" s="75">
        <f>+(P35-($S$17/10000))-0</f>
        <v>6.5127999999999995</v>
      </c>
      <c r="T35" s="75">
        <f>+(P35+($T$17/10000))-0</f>
        <v>6.5728</v>
      </c>
      <c r="U35" s="51" t="s">
        <v>33</v>
      </c>
      <c r="V35" s="51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4" x14ac:dyDescent="0.3">
      <c r="A36" s="37"/>
      <c r="B36" s="51"/>
      <c r="C36" s="51"/>
      <c r="D36" s="51"/>
      <c r="E36" s="43"/>
      <c r="F36" s="43"/>
      <c r="G36" s="81"/>
      <c r="H36" s="43"/>
      <c r="I36" s="43"/>
      <c r="J36" s="51"/>
      <c r="K36" s="43"/>
      <c r="L36" s="3"/>
      <c r="M36" s="3"/>
      <c r="N36" s="78"/>
      <c r="O36" s="43"/>
      <c r="P36" s="81"/>
      <c r="Q36" s="43"/>
      <c r="R36" s="43"/>
      <c r="S36" s="51"/>
      <c r="T36" s="43"/>
      <c r="U36" s="3"/>
      <c r="V36" s="3"/>
      <c r="Y36" s="94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4" x14ac:dyDescent="0.3">
      <c r="A37" s="37" t="s">
        <v>30</v>
      </c>
      <c r="B37" s="51">
        <f>+B23/K37</f>
        <v>933.25006938662227</v>
      </c>
      <c r="C37" s="51">
        <f>+C23/J37</f>
        <v>981.30174136454468</v>
      </c>
      <c r="D37" s="51"/>
      <c r="E37" s="43"/>
      <c r="F37" s="20" t="s">
        <v>34</v>
      </c>
      <c r="G37" s="81">
        <f>POPULATE!G15</f>
        <v>1.4212</v>
      </c>
      <c r="H37" s="82">
        <f>+G37+0.04</f>
        <v>1.4612000000000001</v>
      </c>
      <c r="I37" s="95"/>
      <c r="J37" s="75">
        <f>+(G37-($J$17/10000))-0</f>
        <v>1.4012</v>
      </c>
      <c r="K37" s="75">
        <f>+(G37+($K$17/10000))-0</f>
        <v>1.4412</v>
      </c>
      <c r="L37" s="51" t="s">
        <v>35</v>
      </c>
      <c r="M37" s="51"/>
      <c r="N37" s="78"/>
      <c r="O37" s="20" t="s">
        <v>34</v>
      </c>
      <c r="P37" s="81">
        <f t="shared" si="0"/>
        <v>1.4212</v>
      </c>
      <c r="Q37" s="82">
        <f>+P37+0.04</f>
        <v>1.4612000000000001</v>
      </c>
      <c r="R37" s="95"/>
      <c r="S37" s="75">
        <f>+(P37-($S$17/10000))-0</f>
        <v>1.3912</v>
      </c>
      <c r="T37" s="75">
        <f>+(P37+($T$17/10000))-0</f>
        <v>1.4512</v>
      </c>
      <c r="U37" s="51" t="s">
        <v>35</v>
      </c>
      <c r="V37" s="51"/>
      <c r="Y37" s="94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7.25" customHeight="1" x14ac:dyDescent="0.3">
      <c r="A38" s="37"/>
      <c r="B38" s="43"/>
      <c r="C38" s="43"/>
      <c r="D38" s="43"/>
      <c r="E38" s="43"/>
      <c r="F38" s="3"/>
      <c r="G38" s="81"/>
      <c r="H38" s="58"/>
      <c r="I38" s="58"/>
      <c r="J38" s="71"/>
      <c r="K38" s="71"/>
      <c r="L38" s="51"/>
      <c r="M38" s="51"/>
      <c r="N38" s="78"/>
      <c r="O38" s="3"/>
      <c r="P38" s="81"/>
      <c r="Q38" s="58"/>
      <c r="R38" s="58"/>
      <c r="S38" s="71"/>
      <c r="T38" s="71"/>
      <c r="U38" s="51"/>
      <c r="V38" s="51"/>
      <c r="W38" s="94"/>
      <c r="X38" s="94"/>
      <c r="Y38" s="94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4" x14ac:dyDescent="0.3">
      <c r="A39" s="37" t="s">
        <v>36</v>
      </c>
      <c r="B39" s="43">
        <f>+B23*J39</f>
        <v>905.18499999999995</v>
      </c>
      <c r="C39" s="43">
        <f>+C23*K39</f>
        <v>980.375</v>
      </c>
      <c r="D39" s="43"/>
      <c r="E39" s="43"/>
      <c r="F39" s="20" t="s">
        <v>37</v>
      </c>
      <c r="G39" s="81">
        <f>POPULATE!G16</f>
        <v>0.69299999999999995</v>
      </c>
      <c r="H39" s="82">
        <f>+G39+0.04</f>
        <v>0.73299999999999998</v>
      </c>
      <c r="I39" s="93"/>
      <c r="J39" s="75">
        <f>+(G39-($J$17/10000))+0</f>
        <v>0.67299999999999993</v>
      </c>
      <c r="K39" s="75">
        <f>+(G39+($K$17/10000))-0</f>
        <v>0.71299999999999997</v>
      </c>
      <c r="L39" s="43" t="s">
        <v>38</v>
      </c>
      <c r="M39" s="43"/>
      <c r="N39" s="78"/>
      <c r="O39" s="20" t="s">
        <v>37</v>
      </c>
      <c r="P39" s="81">
        <f t="shared" si="0"/>
        <v>0.69299999999999995</v>
      </c>
      <c r="Q39" s="82">
        <f>+P39+0.04</f>
        <v>0.73299999999999998</v>
      </c>
      <c r="R39" s="93"/>
      <c r="S39" s="75">
        <f>+(P39-($S$17/10000))+0</f>
        <v>0.66299999999999992</v>
      </c>
      <c r="T39" s="75">
        <f>+(P39+($T$17/10000))-0</f>
        <v>0.72299999999999998</v>
      </c>
      <c r="U39" s="43" t="s">
        <v>38</v>
      </c>
      <c r="V39" s="43"/>
      <c r="W39" s="166"/>
      <c r="X39" s="166"/>
      <c r="Y39" s="166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4" x14ac:dyDescent="0.3">
      <c r="A40" s="37"/>
      <c r="B40" s="51"/>
      <c r="C40" s="51"/>
      <c r="D40" s="51"/>
      <c r="E40" s="51"/>
      <c r="F40" s="21"/>
      <c r="G40" s="81"/>
      <c r="H40" s="96"/>
      <c r="I40" s="96"/>
      <c r="J40" s="75"/>
      <c r="K40" s="75"/>
      <c r="L40" s="51"/>
      <c r="M40" s="51"/>
      <c r="N40" s="97"/>
      <c r="O40" s="21"/>
      <c r="P40" s="81"/>
      <c r="Q40" s="96"/>
      <c r="R40" s="96"/>
      <c r="S40" s="75"/>
      <c r="T40" s="75"/>
      <c r="U40" s="51"/>
      <c r="V40" s="51"/>
      <c r="W40" s="78"/>
      <c r="Y40" s="78"/>
      <c r="Z40" s="97"/>
      <c r="AA40" s="97"/>
      <c r="AB40" s="97"/>
      <c r="AC40" s="97"/>
      <c r="AD40" s="97"/>
      <c r="AE40" s="97"/>
      <c r="AF40" s="97"/>
      <c r="AG40" s="97"/>
      <c r="AH40" s="97"/>
      <c r="AI40" s="97"/>
    </row>
    <row r="41" spans="1:35" ht="14" x14ac:dyDescent="0.3">
      <c r="A41" s="20" t="s">
        <v>139</v>
      </c>
      <c r="B41" s="51">
        <f>+B23/K41</f>
        <v>197.43409077564442</v>
      </c>
      <c r="C41" s="43">
        <f>+C23/J41</f>
        <v>203.02994507117123</v>
      </c>
      <c r="D41" s="43"/>
      <c r="E41" s="43"/>
      <c r="F41" s="20" t="s">
        <v>90</v>
      </c>
      <c r="G41" s="81">
        <f>POPULATE!G17</f>
        <v>6.7923999999999998</v>
      </c>
      <c r="H41" s="82">
        <f>+G41+0.04</f>
        <v>6.8323999999999998</v>
      </c>
      <c r="I41" s="93"/>
      <c r="J41" s="58">
        <f>+(G41-($J$17/10000))+0</f>
        <v>6.7724000000000002</v>
      </c>
      <c r="K41" s="58">
        <f>+(G41+($K$17/10000))-0</f>
        <v>6.8123999999999993</v>
      </c>
      <c r="L41" s="43" t="s">
        <v>40</v>
      </c>
      <c r="M41" s="43"/>
      <c r="N41" s="78"/>
      <c r="O41" s="20" t="s">
        <v>90</v>
      </c>
      <c r="P41" s="81">
        <f t="shared" si="0"/>
        <v>6.7923999999999998</v>
      </c>
      <c r="Q41" s="82">
        <f>+P41+0.04</f>
        <v>6.8323999999999998</v>
      </c>
      <c r="R41" s="93"/>
      <c r="S41" s="58">
        <f>+(P41-($S$17/10000))+0</f>
        <v>6.7623999999999995</v>
      </c>
      <c r="T41" s="58">
        <f>+(P41+($T$17/10000))-0</f>
        <v>6.8224</v>
      </c>
      <c r="U41" s="43" t="s">
        <v>40</v>
      </c>
      <c r="V41" s="43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4" x14ac:dyDescent="0.3">
      <c r="A42" s="37"/>
      <c r="B42" s="43"/>
      <c r="C42" s="43"/>
      <c r="D42" s="43"/>
      <c r="E42" s="43"/>
      <c r="F42" s="98"/>
      <c r="G42" s="99"/>
      <c r="H42" s="100"/>
      <c r="I42" s="100"/>
      <c r="J42" s="96"/>
      <c r="K42" s="43"/>
      <c r="L42" s="43"/>
      <c r="M42" s="43"/>
      <c r="N42" s="78"/>
      <c r="O42" s="98"/>
      <c r="P42" s="81"/>
      <c r="Q42" s="100"/>
      <c r="R42" s="100"/>
      <c r="S42" s="96"/>
      <c r="T42" s="43"/>
      <c r="U42" s="43"/>
      <c r="V42" s="43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20.25" hidden="1" customHeight="1" x14ac:dyDescent="0.3">
      <c r="A43" s="37" t="s">
        <v>41</v>
      </c>
      <c r="B43" s="101">
        <f>C43-1</f>
        <v>378</v>
      </c>
      <c r="C43" s="102">
        <v>379</v>
      </c>
      <c r="D43" s="67"/>
      <c r="E43" s="43"/>
      <c r="F43" s="43"/>
      <c r="G43" s="103"/>
      <c r="H43" s="51"/>
      <c r="I43" s="51"/>
      <c r="J43" s="96"/>
      <c r="K43" s="43"/>
      <c r="L43" s="103"/>
      <c r="M43" s="103"/>
      <c r="N43" s="78"/>
      <c r="O43" s="43"/>
      <c r="P43" s="81">
        <f t="shared" si="0"/>
        <v>0</v>
      </c>
      <c r="Q43" s="51"/>
      <c r="R43" s="51"/>
      <c r="S43" s="96"/>
      <c r="T43" s="43"/>
      <c r="U43" s="103"/>
      <c r="V43" s="103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x14ac:dyDescent="0.35">
      <c r="A44" s="37" t="s">
        <v>39</v>
      </c>
      <c r="B44" s="158">
        <f>+B23/K44</f>
        <v>197.4920709503113</v>
      </c>
      <c r="C44" s="158">
        <f>+C23/J44</f>
        <v>203.08992083185629</v>
      </c>
      <c r="F44" s="37" t="s">
        <v>148</v>
      </c>
      <c r="G44" s="100"/>
      <c r="J44" s="159">
        <f>J41-0.002</f>
        <v>6.7704000000000004</v>
      </c>
      <c r="K44" s="159">
        <f>K41-0.002</f>
        <v>6.8103999999999996</v>
      </c>
    </row>
    <row r="45" spans="1:35" x14ac:dyDescent="0.35">
      <c r="A45" s="43"/>
      <c r="B45" s="43"/>
      <c r="C45" s="43"/>
      <c r="D45" s="43"/>
      <c r="E45" s="78"/>
      <c r="F45" s="43"/>
      <c r="G45" s="100"/>
      <c r="H45" s="51"/>
      <c r="I45" s="78"/>
      <c r="L45" s="100"/>
      <c r="M45" s="100"/>
      <c r="N45" s="78"/>
      <c r="O45" s="43"/>
      <c r="P45" s="100"/>
      <c r="Q45" s="51"/>
      <c r="R45" s="78"/>
      <c r="U45" s="100"/>
      <c r="V45" s="100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 x14ac:dyDescent="0.3">
      <c r="A46" s="43"/>
      <c r="B46" s="43"/>
      <c r="C46" s="43"/>
      <c r="D46" s="43"/>
      <c r="E46" s="97"/>
      <c r="F46" s="78"/>
      <c r="G46" s="105"/>
      <c r="H46" s="97"/>
      <c r="I46" s="78"/>
      <c r="J46" s="162" t="s">
        <v>42</v>
      </c>
      <c r="K46" s="162"/>
      <c r="L46" s="78"/>
      <c r="M46" s="78"/>
      <c r="N46" s="78"/>
      <c r="O46" s="78"/>
      <c r="P46" s="105"/>
      <c r="Q46" s="97"/>
      <c r="R46" s="78"/>
      <c r="S46" s="162"/>
      <c r="T46" s="162"/>
      <c r="U46" s="78"/>
      <c r="V46" s="78"/>
      <c r="W46" s="78"/>
      <c r="X46" s="78"/>
      <c r="Y46" s="78"/>
      <c r="Z46" s="78"/>
      <c r="AA46" s="78"/>
    </row>
    <row r="47" spans="1:35" ht="14" x14ac:dyDescent="0.3">
      <c r="A47" s="43"/>
      <c r="B47" s="43"/>
      <c r="C47" s="43"/>
      <c r="D47" s="43"/>
      <c r="E47" s="97"/>
      <c r="F47" s="78"/>
      <c r="G47" s="105"/>
      <c r="H47" s="97"/>
      <c r="I47" s="78"/>
      <c r="J47" s="84" t="s">
        <v>11</v>
      </c>
      <c r="K47" s="75">
        <v>1451.634</v>
      </c>
      <c r="L47" s="75">
        <v>326</v>
      </c>
      <c r="M47" s="78"/>
      <c r="N47" s="78"/>
      <c r="O47" s="78"/>
      <c r="P47" s="105"/>
      <c r="Q47" s="97"/>
      <c r="R47" s="78"/>
      <c r="S47" s="84"/>
      <c r="T47" s="75"/>
      <c r="U47" s="75"/>
      <c r="V47" s="78"/>
      <c r="W47" s="78"/>
      <c r="X47" s="78"/>
      <c r="Y47" s="78"/>
      <c r="Z47" s="78"/>
      <c r="AA47" s="78"/>
    </row>
    <row r="48" spans="1:35" ht="14" x14ac:dyDescent="0.3">
      <c r="A48" s="43"/>
      <c r="B48" s="43"/>
      <c r="C48" s="43"/>
      <c r="D48" s="43"/>
      <c r="E48" s="106"/>
      <c r="F48" s="78"/>
      <c r="G48" s="105"/>
      <c r="H48" s="107"/>
      <c r="I48" s="78"/>
      <c r="J48" s="84" t="s">
        <v>17</v>
      </c>
      <c r="K48" s="75">
        <v>1674.14</v>
      </c>
      <c r="L48" s="75">
        <f>$Y$47*C25</f>
        <v>0</v>
      </c>
      <c r="M48" s="78"/>
      <c r="N48" s="78"/>
      <c r="O48" s="78"/>
      <c r="P48" s="105"/>
      <c r="Q48" s="107"/>
      <c r="R48" s="78"/>
      <c r="S48" s="84"/>
      <c r="T48" s="75"/>
      <c r="U48" s="75"/>
      <c r="V48" s="78"/>
      <c r="W48" s="78"/>
      <c r="X48" s="78"/>
      <c r="Y48" s="78"/>
      <c r="Z48" s="78"/>
      <c r="AA48" s="78"/>
    </row>
    <row r="49" spans="1:35" ht="14" x14ac:dyDescent="0.3">
      <c r="A49" s="43"/>
      <c r="B49" s="43"/>
      <c r="C49" s="43"/>
      <c r="D49" s="43"/>
      <c r="E49" s="108"/>
      <c r="F49" s="97"/>
      <c r="G49" s="97"/>
      <c r="H49" s="97"/>
      <c r="I49" s="78"/>
      <c r="J49" s="84" t="s">
        <v>21</v>
      </c>
      <c r="K49" s="75">
        <v>1900.0440000000001</v>
      </c>
      <c r="L49" s="75">
        <f>$Y$47*C29</f>
        <v>0</v>
      </c>
      <c r="M49" s="78"/>
      <c r="N49" s="78"/>
      <c r="O49" s="97"/>
      <c r="P49" s="97"/>
      <c r="Q49" s="97"/>
      <c r="R49" s="78"/>
      <c r="S49" s="84"/>
      <c r="T49" s="75"/>
      <c r="U49" s="75"/>
      <c r="V49" s="78"/>
      <c r="W49" s="78"/>
      <c r="X49" s="78"/>
      <c r="Y49" s="78"/>
      <c r="Z49" s="78"/>
      <c r="AA49" s="78"/>
    </row>
    <row r="50" spans="1:35" ht="14" x14ac:dyDescent="0.3">
      <c r="A50" s="43"/>
      <c r="B50" s="43"/>
      <c r="C50" s="43"/>
      <c r="D50" s="43"/>
      <c r="E50" s="97"/>
      <c r="F50" s="109"/>
      <c r="G50" s="97"/>
      <c r="H50" s="97"/>
      <c r="I50" s="78"/>
      <c r="J50" s="84" t="s">
        <v>39</v>
      </c>
      <c r="K50" s="75">
        <v>204.042</v>
      </c>
      <c r="L50" s="75">
        <f>$Y$47/B41</f>
        <v>0</v>
      </c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</row>
    <row r="51" spans="1:35" ht="14" x14ac:dyDescent="0.3">
      <c r="A51" s="43"/>
      <c r="B51" s="43"/>
      <c r="C51" s="43"/>
      <c r="D51" s="43"/>
      <c r="E51" s="97"/>
      <c r="F51" s="97"/>
      <c r="G51" s="97"/>
      <c r="H51" s="97"/>
      <c r="I51" s="78"/>
      <c r="J51" s="84" t="s">
        <v>27</v>
      </c>
      <c r="K51" s="75">
        <v>84.352000000000004</v>
      </c>
      <c r="L51" s="75">
        <f>$Y$47/B33</f>
        <v>0</v>
      </c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</row>
    <row r="52" spans="1:35" x14ac:dyDescent="0.35">
      <c r="A52" s="78"/>
      <c r="B52" s="78"/>
      <c r="C52" s="43"/>
      <c r="D52" s="43"/>
      <c r="E52" s="110"/>
      <c r="F52" s="97"/>
      <c r="H52" s="97"/>
      <c r="I52" s="78"/>
      <c r="J52" s="84" t="s">
        <v>18</v>
      </c>
      <c r="K52" s="75">
        <v>9.2200000000000006</v>
      </c>
      <c r="L52" s="75">
        <f>$Y$47/B27</f>
        <v>0</v>
      </c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</row>
    <row r="53" spans="1:35" x14ac:dyDescent="0.35">
      <c r="A53" s="78"/>
      <c r="B53" s="78"/>
      <c r="C53" s="43"/>
      <c r="D53" s="43"/>
      <c r="E53" s="110"/>
      <c r="F53" s="97"/>
      <c r="H53" s="97"/>
      <c r="I53" s="78"/>
      <c r="J53" s="160" t="s">
        <v>93</v>
      </c>
      <c r="K53" s="161"/>
      <c r="L53" s="75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</row>
    <row r="54" spans="1:35" x14ac:dyDescent="0.35">
      <c r="A54" s="78"/>
      <c r="B54" s="78"/>
      <c r="C54" s="43"/>
      <c r="D54" s="43"/>
      <c r="E54" s="110"/>
      <c r="F54" s="97"/>
      <c r="H54" s="97"/>
      <c r="I54" s="78"/>
      <c r="J54" s="84"/>
      <c r="K54" s="75"/>
      <c r="L54" s="75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</row>
    <row r="55" spans="1:35" x14ac:dyDescent="0.35">
      <c r="A55" s="78"/>
      <c r="B55" s="78"/>
      <c r="C55" s="43"/>
      <c r="D55" s="43"/>
      <c r="E55" s="110"/>
      <c r="F55" s="97"/>
      <c r="H55" s="97"/>
      <c r="I55" s="78"/>
      <c r="J55" s="84"/>
      <c r="K55" s="134"/>
      <c r="L55" s="134"/>
      <c r="M55" s="135"/>
      <c r="N55" s="97"/>
      <c r="O55" s="97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</row>
    <row r="56" spans="1:35" x14ac:dyDescent="0.35">
      <c r="A56" s="78"/>
      <c r="B56" s="78"/>
      <c r="C56" s="43"/>
      <c r="D56" s="43"/>
      <c r="E56" s="110"/>
      <c r="F56" s="97"/>
      <c r="H56" s="97"/>
      <c r="I56" s="78"/>
      <c r="J56" s="120" t="s">
        <v>143</v>
      </c>
      <c r="K56" s="111">
        <f>POPULATE!G19</f>
        <v>1371.57</v>
      </c>
      <c r="L56" s="136"/>
      <c r="M56" s="137"/>
      <c r="N56" s="97"/>
      <c r="O56" s="97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</row>
    <row r="57" spans="1:35" x14ac:dyDescent="0.35">
      <c r="A57" s="78"/>
      <c r="B57" s="78"/>
      <c r="C57" s="43"/>
      <c r="D57" s="43"/>
      <c r="E57" s="110"/>
      <c r="F57" s="97"/>
      <c r="H57" s="97"/>
      <c r="I57" s="78"/>
      <c r="J57" s="112"/>
      <c r="K57" s="112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</row>
    <row r="58" spans="1:35" x14ac:dyDescent="0.35">
      <c r="A58" s="78"/>
      <c r="B58" s="78"/>
      <c r="C58" s="43"/>
      <c r="D58" s="43"/>
      <c r="E58" s="110"/>
      <c r="F58" s="97"/>
      <c r="H58" s="97"/>
      <c r="I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</row>
    <row r="59" spans="1:35" ht="14" x14ac:dyDescent="0.3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x14ac:dyDescent="0.35">
      <c r="B60" s="78"/>
      <c r="C60" s="78"/>
      <c r="D60" s="78"/>
      <c r="E60" s="113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x14ac:dyDescent="0.35">
      <c r="B61" s="78"/>
      <c r="C61" s="78"/>
      <c r="D61" s="78"/>
      <c r="E61" s="113"/>
      <c r="F61" s="127"/>
      <c r="G61" s="78"/>
      <c r="H61" s="78"/>
      <c r="I61" s="78"/>
      <c r="J61" s="78"/>
      <c r="K61" s="78"/>
      <c r="L61" s="78"/>
      <c r="M61" s="78"/>
      <c r="N61" s="78"/>
      <c r="O61" s="127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x14ac:dyDescent="0.35">
      <c r="B62" s="78"/>
      <c r="C62" s="78"/>
      <c r="D62" s="78"/>
      <c r="E62" s="122"/>
      <c r="F62" s="78"/>
      <c r="G62" s="125"/>
      <c r="H62" s="78"/>
      <c r="I62" s="78"/>
      <c r="K62" s="78"/>
      <c r="L62" s="78"/>
      <c r="M62" s="78"/>
      <c r="N62" s="78"/>
      <c r="O62" s="78"/>
      <c r="P62" s="125"/>
      <c r="Q62" s="78"/>
      <c r="R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x14ac:dyDescent="0.35">
      <c r="B63" s="78"/>
      <c r="C63" s="78"/>
      <c r="D63" s="78"/>
      <c r="E63" s="123"/>
      <c r="F63" s="129"/>
      <c r="G63" s="125"/>
      <c r="H63" s="78"/>
      <c r="I63" s="78"/>
      <c r="J63" s="121"/>
      <c r="K63" s="110"/>
      <c r="L63" s="78"/>
      <c r="M63" s="78"/>
      <c r="N63" s="78"/>
      <c r="O63" s="129"/>
      <c r="P63" s="125"/>
      <c r="Q63" s="78"/>
      <c r="R63" s="78"/>
      <c r="S63" s="121"/>
      <c r="T63" s="110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x14ac:dyDescent="0.35">
      <c r="B64" s="78"/>
      <c r="C64" s="78"/>
      <c r="D64" s="78"/>
      <c r="E64" s="123"/>
      <c r="F64" s="129"/>
      <c r="G64" s="125"/>
      <c r="H64" s="110"/>
      <c r="I64" s="78"/>
      <c r="J64" s="121"/>
      <c r="K64" s="110"/>
      <c r="L64" s="78"/>
      <c r="M64" s="78"/>
      <c r="N64" s="78"/>
      <c r="O64" s="129"/>
      <c r="P64" s="125"/>
      <c r="Q64" s="110"/>
      <c r="R64" s="78"/>
      <c r="S64" s="121"/>
      <c r="T64" s="110"/>
      <c r="U64" s="78"/>
      <c r="V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2:35" x14ac:dyDescent="0.35">
      <c r="B65" s="78"/>
      <c r="C65" s="78"/>
      <c r="D65" s="78"/>
      <c r="E65" s="123"/>
      <c r="F65" s="78"/>
      <c r="G65" s="125"/>
      <c r="H65" s="78"/>
      <c r="I65" s="78"/>
      <c r="K65" s="110"/>
      <c r="L65" s="78"/>
      <c r="M65" s="78"/>
      <c r="N65" s="78"/>
      <c r="O65" s="78"/>
      <c r="P65" s="125"/>
      <c r="Q65" s="78"/>
      <c r="R65" s="78"/>
      <c r="T65" s="110"/>
      <c r="U65" s="78"/>
      <c r="V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2:35" x14ac:dyDescent="0.35">
      <c r="B66" s="23"/>
      <c r="C66" s="78"/>
      <c r="D66" s="78"/>
      <c r="E66" s="123"/>
      <c r="F66" s="78"/>
      <c r="G66" s="125"/>
      <c r="H66" s="110"/>
      <c r="I66" s="78"/>
      <c r="K66" s="78"/>
      <c r="L66" s="78"/>
      <c r="M66" s="78"/>
      <c r="N66" s="78"/>
      <c r="O66" s="78"/>
      <c r="P66" s="125"/>
      <c r="Q66" s="110"/>
      <c r="R66" s="78"/>
      <c r="T66" s="78"/>
      <c r="U66" s="78"/>
      <c r="V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2:35" x14ac:dyDescent="0.35">
      <c r="B67" s="23"/>
      <c r="E67" s="124"/>
      <c r="G67" s="126"/>
      <c r="P67" s="126"/>
    </row>
    <row r="68" spans="2:35" x14ac:dyDescent="0.35">
      <c r="B68" s="114"/>
      <c r="F68" s="128"/>
      <c r="O68" s="128"/>
    </row>
    <row r="69" spans="2:35" x14ac:dyDescent="0.35">
      <c r="I69" s="78"/>
      <c r="R69" s="78"/>
    </row>
    <row r="80" spans="2:35" x14ac:dyDescent="0.35">
      <c r="W80" s="104"/>
      <c r="X80" s="104"/>
      <c r="Y80" s="104"/>
    </row>
    <row r="81" spans="6:25" x14ac:dyDescent="0.35">
      <c r="W81" s="104"/>
      <c r="X81" s="104"/>
      <c r="Y81" s="104"/>
    </row>
    <row r="82" spans="6:25" x14ac:dyDescent="0.35">
      <c r="W82" s="104"/>
      <c r="X82" s="104"/>
      <c r="Y82" s="104"/>
    </row>
    <row r="83" spans="6:25" s="104" customFormat="1" x14ac:dyDescent="0.35">
      <c r="F83" s="115"/>
      <c r="I83" s="78"/>
      <c r="O83" s="115"/>
      <c r="R83" s="78"/>
      <c r="W83" s="39"/>
      <c r="X83" s="39"/>
      <c r="Y83" s="39"/>
    </row>
    <row r="84" spans="6:25" s="104" customFormat="1" x14ac:dyDescent="0.35">
      <c r="I84" s="78"/>
      <c r="R84" s="78"/>
    </row>
    <row r="85" spans="6:25" s="104" customFormat="1" x14ac:dyDescent="0.35">
      <c r="I85" s="78"/>
      <c r="R85" s="78"/>
      <c r="W85" s="39"/>
      <c r="X85" s="39"/>
      <c r="Y85" s="39"/>
    </row>
    <row r="87" spans="6:25" s="104" customFormat="1" x14ac:dyDescent="0.35">
      <c r="I87" s="78"/>
      <c r="R87" s="78"/>
    </row>
    <row r="88" spans="6:25" x14ac:dyDescent="0.35">
      <c r="W88" s="104"/>
      <c r="X88" s="104"/>
      <c r="Y88" s="104"/>
    </row>
    <row r="90" spans="6:25" s="104" customFormat="1" x14ac:dyDescent="0.35">
      <c r="I90" s="116"/>
      <c r="R90" s="116"/>
    </row>
    <row r="91" spans="6:25" s="104" customFormat="1" x14ac:dyDescent="0.35">
      <c r="I91" s="78"/>
      <c r="R91" s="78"/>
      <c r="W91" s="39"/>
      <c r="X91" s="39"/>
      <c r="Y91" s="39"/>
    </row>
    <row r="93" spans="6:25" s="104" customFormat="1" x14ac:dyDescent="0.35">
      <c r="I93" s="117"/>
      <c r="R93" s="117"/>
      <c r="W93" s="39"/>
      <c r="X93" s="39"/>
      <c r="Y93" s="39"/>
    </row>
  </sheetData>
  <mergeCells count="7">
    <mergeCell ref="J53:K53"/>
    <mergeCell ref="S46:T46"/>
    <mergeCell ref="F19:K19"/>
    <mergeCell ref="O19:T19"/>
    <mergeCell ref="W20:Y20"/>
    <mergeCell ref="W39:Y39"/>
    <mergeCell ref="J46:K46"/>
  </mergeCells>
  <phoneticPr fontId="4" type="noConversion"/>
  <conditionalFormatting sqref="B23">
    <cfRule type="cellIs" dxfId="183" priority="1" operator="notBetween">
      <formula>$K$56*0.98</formula>
      <formula>$K$56*1.02</formula>
    </cfRule>
  </conditionalFormatting>
  <conditionalFormatting sqref="C23">
    <cfRule type="cellIs" dxfId="182" priority="2" operator="notBetween">
      <formula>$K$56*0.98</formula>
      <formula>$K$56*1.02</formula>
    </cfRule>
  </conditionalFormatting>
  <conditionalFormatting sqref="C1:D1"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  <cfRule type="iconSet" priority="2533">
      <iconSet iconSet="3Signs">
        <cfvo type="percent" val="0"/>
        <cfvo type="percent" val="33"/>
        <cfvo type="percent" val="67"/>
      </iconSet>
    </cfRule>
    <cfRule type="iconSet" priority="2534">
      <iconSet iconSet="3Signs">
        <cfvo type="percent" val="0"/>
        <cfvo type="percent" val="33"/>
        <cfvo type="percent" val="67"/>
      </iconSet>
    </cfRule>
    <cfRule type="iconSet" priority="2535">
      <iconSet iconSet="3Signs">
        <cfvo type="percent" val="0"/>
        <cfvo type="percent" val="33"/>
        <cfvo type="percent" val="67"/>
      </iconSet>
    </cfRule>
    <cfRule type="iconSet" priority="2536">
      <iconSet iconSet="3Signs">
        <cfvo type="percent" val="0"/>
        <cfvo type="percent" val="33"/>
        <cfvo type="percent" val="67"/>
      </iconSet>
    </cfRule>
    <cfRule type="iconSet" priority="2537">
      <iconSet iconSet="3Signs">
        <cfvo type="percent" val="0"/>
        <cfvo type="percent" val="33"/>
        <cfvo type="percent" val="67"/>
      </iconSet>
    </cfRule>
    <cfRule type="iconSet" priority="2538">
      <iconSet iconSet="3Signs">
        <cfvo type="percent" val="0"/>
        <cfvo type="percent" val="33"/>
        <cfvo type="percent" val="67"/>
      </iconSet>
    </cfRule>
    <cfRule type="iconSet" priority="2539">
      <iconSet iconSet="3Signs">
        <cfvo type="percent" val="0"/>
        <cfvo type="percent" val="33"/>
        <cfvo type="percent" val="67"/>
      </iconSet>
    </cfRule>
    <cfRule type="iconSet" priority="2540">
      <iconSet iconSet="3Signs">
        <cfvo type="percent" val="0"/>
        <cfvo type="percent" val="33"/>
        <cfvo type="percent" val="67"/>
      </iconSet>
    </cfRule>
    <cfRule type="iconSet" priority="2541">
      <iconSet iconSet="3Signs">
        <cfvo type="percent" val="0"/>
        <cfvo type="percent" val="33"/>
        <cfvo type="percent" val="67"/>
      </iconSet>
    </cfRule>
    <cfRule type="iconSet" priority="2542">
      <iconSet iconSet="3Signs">
        <cfvo type="percent" val="0"/>
        <cfvo type="percent" val="33"/>
        <cfvo type="percent" val="67"/>
      </iconSet>
    </cfRule>
    <cfRule type="iconSet" priority="2787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81" priority="32" operator="greaterThan">
      <formula>0.7</formula>
    </cfRule>
    <cfRule type="cellIs" dxfId="180" priority="31" operator="lessThan">
      <formula>0.6</formula>
    </cfRule>
  </conditionalFormatting>
  <conditionalFormatting sqref="G41">
    <cfRule type="cellIs" dxfId="179" priority="28" operator="lessThan">
      <formula>6.5</formula>
    </cfRule>
    <cfRule type="cellIs" dxfId="178" priority="29" operator="greaterThan">
      <formula>7.5</formula>
    </cfRule>
  </conditionalFormatting>
  <conditionalFormatting sqref="J25">
    <cfRule type="cellIs" dxfId="177" priority="47" operator="lessThan">
      <formula>1</formula>
    </cfRule>
    <cfRule type="cellIs" dxfId="176" priority="48" operator="greaterThan">
      <formula>1.2</formula>
    </cfRule>
  </conditionalFormatting>
  <conditionalFormatting sqref="J27">
    <cfRule type="cellIs" dxfId="175" priority="45" operator="lessThan">
      <formula>140</formula>
    </cfRule>
  </conditionalFormatting>
  <conditionalFormatting sqref="J29">
    <cfRule type="cellIs" dxfId="174" priority="43" operator="lessThan">
      <formula>1.05</formula>
    </cfRule>
    <cfRule type="cellIs" dxfId="173" priority="44" operator="greaterThan">
      <formula>1.4</formula>
    </cfRule>
  </conditionalFormatting>
  <conditionalFormatting sqref="J31">
    <cfRule type="cellIs" dxfId="172" priority="41" operator="lessThan">
      <formula>0.7</formula>
    </cfRule>
    <cfRule type="cellIs" dxfId="171" priority="42" operator="greaterThan">
      <formula>1</formula>
    </cfRule>
  </conditionalFormatting>
  <conditionalFormatting sqref="J33">
    <cfRule type="cellIs" dxfId="170" priority="39" operator="lessThan">
      <formula>15</formula>
    </cfRule>
    <cfRule type="cellIs" dxfId="169" priority="40" operator="greaterThan">
      <formula>19</formula>
    </cfRule>
  </conditionalFormatting>
  <conditionalFormatting sqref="J35">
    <cfRule type="cellIs" dxfId="168" priority="37" operator="lessThan">
      <formula>6</formula>
    </cfRule>
    <cfRule type="cellIs" dxfId="167" priority="38" operator="greaterThan">
      <formula>7.5</formula>
    </cfRule>
  </conditionalFormatting>
  <conditionalFormatting sqref="J37">
    <cfRule type="cellIs" dxfId="166" priority="35" operator="lessThan">
      <formula>1.1</formula>
    </cfRule>
    <cfRule type="cellIs" dxfId="165" priority="36" operator="greaterThan">
      <formula>1.5</formula>
    </cfRule>
  </conditionalFormatting>
  <conditionalFormatting sqref="J39">
    <cfRule type="cellIs" dxfId="164" priority="34" operator="greaterThan">
      <formula>0.72</formula>
    </cfRule>
  </conditionalFormatting>
  <conditionalFormatting sqref="P44">
    <cfRule type="cellIs" dxfId="163" priority="4" operator="greaterThan">
      <formula>0.88</formula>
    </cfRule>
    <cfRule type="cellIs" dxfId="162" priority="3" operator="lessThan">
      <formula>0.82</formula>
    </cfRule>
  </conditionalFormatting>
  <conditionalFormatting sqref="S25">
    <cfRule type="cellIs" dxfId="161" priority="24" operator="lessThan">
      <formula>0.9</formula>
    </cfRule>
    <cfRule type="cellIs" dxfId="160" priority="25" operator="greaterThan">
      <formula>1.2</formula>
    </cfRule>
  </conditionalFormatting>
  <conditionalFormatting sqref="S27">
    <cfRule type="cellIs" dxfId="159" priority="22" operator="lessThan">
      <formula>139</formula>
    </cfRule>
    <cfRule type="cellIs" dxfId="158" priority="23" operator="greaterThan">
      <formula>160</formula>
    </cfRule>
  </conditionalFormatting>
  <conditionalFormatting sqref="S29">
    <cfRule type="cellIs" dxfId="157" priority="20" operator="lessThan">
      <formula>1.05</formula>
    </cfRule>
    <cfRule type="cellIs" dxfId="156" priority="21" operator="greaterThan">
      <formula>1.4</formula>
    </cfRule>
  </conditionalFormatting>
  <conditionalFormatting sqref="S31">
    <cfRule type="cellIs" dxfId="155" priority="18" operator="lessThan">
      <formula>0.71</formula>
    </cfRule>
    <cfRule type="cellIs" dxfId="154" priority="19" operator="greaterThan">
      <formula>0.9</formula>
    </cfRule>
  </conditionalFormatting>
  <conditionalFormatting sqref="S33">
    <cfRule type="cellIs" dxfId="153" priority="16" operator="lessThan">
      <formula>15</formula>
    </cfRule>
    <cfRule type="cellIs" dxfId="152" priority="17" operator="greaterThan">
      <formula>19</formula>
    </cfRule>
  </conditionalFormatting>
  <conditionalFormatting sqref="S35">
    <cfRule type="cellIs" dxfId="151" priority="14" operator="lessThan">
      <formula>6</formula>
    </cfRule>
    <cfRule type="cellIs" dxfId="150" priority="15" operator="greaterThan">
      <formula>7.5</formula>
    </cfRule>
  </conditionalFormatting>
  <conditionalFormatting sqref="S37">
    <cfRule type="cellIs" dxfId="149" priority="12" operator="lessThan">
      <formula>1.1</formula>
    </cfRule>
    <cfRule type="cellIs" dxfId="148" priority="13" operator="greaterThan">
      <formula>1.5</formula>
    </cfRule>
  </conditionalFormatting>
  <conditionalFormatting sqref="S39">
    <cfRule type="cellIs" dxfId="147" priority="11" operator="greaterThan">
      <formula>0.69</formula>
    </cfRule>
  </conditionalFormatting>
  <pageMargins left="0.74803149606299202" right="0.74803149606299202" top="0.98425196850393704" bottom="0.98425196850393704" header="0.511811023622047" footer="0.511811023622047"/>
  <pageSetup scale="37" orientation="landscape" r:id="rId1"/>
  <headerFooter alignWithMargins="0">
    <oddFooter>&amp;L&amp;1#&amp;"Calibri"&amp;10&amp;K000000Classified as Internal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3:AB43"/>
  <sheetViews>
    <sheetView topLeftCell="A4" zoomScale="83" zoomScaleNormal="90" workbookViewId="0">
      <selection activeCell="L35" sqref="L35"/>
    </sheetView>
  </sheetViews>
  <sheetFormatPr defaultColWidth="9.26953125" defaultRowHeight="12.5" x14ac:dyDescent="0.25"/>
  <cols>
    <col min="1" max="1" width="9.26953125" style="9"/>
    <col min="2" max="2" width="6.81640625" style="9" customWidth="1"/>
    <col min="3" max="3" width="19.36328125" style="9" customWidth="1"/>
    <col min="4" max="4" width="15.26953125" style="9" hidden="1" customWidth="1"/>
    <col min="5" max="5" width="6.36328125" style="9" hidden="1" customWidth="1"/>
    <col min="6" max="6" width="12" style="9" hidden="1" customWidth="1"/>
    <col min="7" max="7" width="15.6328125" style="9" hidden="1" customWidth="1"/>
    <col min="8" max="8" width="11.81640625" style="9" hidden="1" customWidth="1"/>
    <col min="9" max="9" width="11" style="9" hidden="1" customWidth="1"/>
    <col min="10" max="10" width="9.26953125" style="9" hidden="1" customWidth="1"/>
    <col min="11" max="11" width="6.6328125" style="9" customWidth="1"/>
    <col min="12" max="12" width="40" style="9" customWidth="1"/>
    <col min="13" max="13" width="20.08984375" style="9" customWidth="1"/>
    <col min="14" max="14" width="11" style="9" customWidth="1"/>
    <col min="15" max="15" width="11.81640625" style="9" customWidth="1"/>
    <col min="16" max="22" width="9.26953125" style="9" customWidth="1"/>
    <col min="23" max="16384" width="9.26953125" style="9"/>
  </cols>
  <sheetData>
    <row r="3" spans="2:13" ht="28" x14ac:dyDescent="0.3">
      <c r="C3" s="7" t="s">
        <v>43</v>
      </c>
      <c r="D3" s="12" t="s">
        <v>0</v>
      </c>
      <c r="E3" s="12"/>
      <c r="G3" s="12"/>
      <c r="I3" s="9" t="s">
        <v>0</v>
      </c>
    </row>
    <row r="4" spans="2:13" ht="13" x14ac:dyDescent="0.3">
      <c r="F4" s="167" t="s">
        <v>44</v>
      </c>
      <c r="G4" s="167"/>
    </row>
    <row r="5" spans="2:13" ht="13.5" customHeight="1" x14ac:dyDescent="0.3">
      <c r="C5" s="133"/>
      <c r="D5" s="24"/>
      <c r="E5" s="12"/>
      <c r="F5" s="10" t="s">
        <v>46</v>
      </c>
      <c r="G5" s="10" t="s">
        <v>47</v>
      </c>
      <c r="H5" s="12" t="s">
        <v>48</v>
      </c>
      <c r="I5" s="12" t="s">
        <v>45</v>
      </c>
    </row>
    <row r="6" spans="2:13" ht="15.5" x14ac:dyDescent="0.35">
      <c r="B6" s="1" t="s">
        <v>49</v>
      </c>
      <c r="C6" s="2">
        <f>POPULATE!D6</f>
        <v>1375</v>
      </c>
      <c r="D6" s="25">
        <f>POPULATE!D6</f>
        <v>1375</v>
      </c>
      <c r="E6" s="26"/>
      <c r="F6" s="4"/>
      <c r="G6" s="4"/>
      <c r="H6" s="13">
        <f>D6</f>
        <v>1375</v>
      </c>
      <c r="I6" s="13">
        <v>510</v>
      </c>
      <c r="J6" s="27">
        <f>(I6-POPULATE!D6)/I6</f>
        <v>-1.696078431372549</v>
      </c>
      <c r="K6" s="28"/>
    </row>
    <row r="7" spans="2:13" ht="15.5" x14ac:dyDescent="0.35">
      <c r="B7" s="1" t="s">
        <v>50</v>
      </c>
      <c r="C7" s="6">
        <f>H7</f>
        <v>0.85506626763574178</v>
      </c>
      <c r="D7" s="25">
        <f>POPULATE!D7</f>
        <v>1.1425000000000001</v>
      </c>
      <c r="E7" s="30"/>
      <c r="F7" s="5">
        <v>2.7E-2</v>
      </c>
      <c r="G7" s="8">
        <f>+POPULATE!D7+F7</f>
        <v>1.1695</v>
      </c>
      <c r="H7" s="14">
        <f>1/G7</f>
        <v>0.85506626763574178</v>
      </c>
      <c r="I7" s="14">
        <v>1.1924999999999999</v>
      </c>
      <c r="J7" s="27">
        <f>(I7-POPULATE!D7)/I7</f>
        <v>4.1928721174004049E-2</v>
      </c>
      <c r="K7" s="28"/>
      <c r="M7" s="131"/>
    </row>
    <row r="8" spans="2:13" ht="15.5" x14ac:dyDescent="0.35">
      <c r="B8" s="1" t="s">
        <v>51</v>
      </c>
      <c r="C8" s="2">
        <f>H8</f>
        <v>160.18</v>
      </c>
      <c r="D8" s="25">
        <f>POPULATE!D8</f>
        <v>162.18</v>
      </c>
      <c r="E8" s="30"/>
      <c r="F8" s="5">
        <v>2</v>
      </c>
      <c r="G8" s="8">
        <f>+POPULATE!D8-F8</f>
        <v>160.18</v>
      </c>
      <c r="H8" s="15">
        <f>G8</f>
        <v>160.18</v>
      </c>
      <c r="I8" s="15">
        <v>104.06</v>
      </c>
      <c r="J8" s="27">
        <f>(I8-POPULATE!D8)/I8</f>
        <v>-0.55852392850278687</v>
      </c>
      <c r="K8" s="28"/>
      <c r="M8" s="35"/>
    </row>
    <row r="9" spans="2:13" ht="15.5" x14ac:dyDescent="0.35">
      <c r="B9" s="1" t="s">
        <v>52</v>
      </c>
      <c r="C9" s="6">
        <f t="shared" ref="C9:C30" si="0">H9</f>
        <v>0.73778958241109638</v>
      </c>
      <c r="D9" s="25">
        <f>POPULATE!D9</f>
        <v>1.3333999999999999</v>
      </c>
      <c r="E9" s="30"/>
      <c r="F9" s="5">
        <v>2.1999999999999999E-2</v>
      </c>
      <c r="G9" s="8">
        <f>POPULATE!D9+F9</f>
        <v>1.3553999999999999</v>
      </c>
      <c r="H9" s="15">
        <f>1/G9</f>
        <v>0.73778958241109638</v>
      </c>
      <c r="I9" s="15">
        <v>1.3365</v>
      </c>
      <c r="J9" s="27">
        <f>(I9-POPULATE!D9)/I9</f>
        <v>2.3194912083801741E-3</v>
      </c>
      <c r="K9" s="28"/>
    </row>
    <row r="10" spans="2:13" ht="15.5" x14ac:dyDescent="0.35">
      <c r="B10" s="1" t="s">
        <v>53</v>
      </c>
      <c r="C10" s="6">
        <f t="shared" si="0"/>
        <v>0.78029999999999999</v>
      </c>
      <c r="D10" s="25">
        <f>POPULATE!D10</f>
        <v>0.80530000000000002</v>
      </c>
      <c r="E10" s="30"/>
      <c r="F10" s="5">
        <v>2.5000000000000001E-2</v>
      </c>
      <c r="G10" s="8">
        <f>POPULATE!D10-F10</f>
        <v>0.78029999999999999</v>
      </c>
      <c r="H10" s="15">
        <f t="shared" ref="H10:H43" si="1">G10</f>
        <v>0.78029999999999999</v>
      </c>
      <c r="I10" s="15">
        <v>0.90620000000000001</v>
      </c>
      <c r="J10" s="27">
        <f>(I10-POPULATE!D10)/I10</f>
        <v>0.11134407415581549</v>
      </c>
      <c r="K10" s="28"/>
    </row>
    <row r="11" spans="2:13" ht="15.5" x14ac:dyDescent="0.35">
      <c r="B11" s="1" t="s">
        <v>54</v>
      </c>
      <c r="C11" s="6">
        <f>H11</f>
        <v>16.0761</v>
      </c>
      <c r="D11" s="25">
        <f>POPULATE!D11</f>
        <v>16.2561</v>
      </c>
      <c r="E11" s="30"/>
      <c r="F11" s="5">
        <v>0.18</v>
      </c>
      <c r="G11" s="8">
        <f>POPULATE!D11-F11</f>
        <v>16.0761</v>
      </c>
      <c r="H11" s="15">
        <f t="shared" si="1"/>
        <v>16.0761</v>
      </c>
      <c r="I11" s="15">
        <v>15.200200000000001</v>
      </c>
      <c r="J11" s="27">
        <f>(I11-POPULATE!D11)/I11</f>
        <v>-6.9466191234325819E-2</v>
      </c>
      <c r="K11" s="28"/>
    </row>
    <row r="12" spans="2:13" ht="15.5" x14ac:dyDescent="0.35">
      <c r="B12" s="1" t="s">
        <v>55</v>
      </c>
      <c r="C12" s="6">
        <f t="shared" si="0"/>
        <v>6.4491000000000005</v>
      </c>
      <c r="D12" s="25">
        <f>POPULATE!D12</f>
        <v>6.5441000000000003</v>
      </c>
      <c r="E12" s="31"/>
      <c r="F12" s="5">
        <v>9.5000000000000001E-2</v>
      </c>
      <c r="G12" s="8">
        <f>POPULATE!D12-F12</f>
        <v>6.4491000000000005</v>
      </c>
      <c r="H12" s="15">
        <f t="shared" si="1"/>
        <v>6.4491000000000005</v>
      </c>
      <c r="I12" s="15">
        <v>6.2423999999999999</v>
      </c>
      <c r="J12" s="27">
        <f>(I12-POPULATE!D12)/I12</f>
        <v>-4.8330770216583413E-2</v>
      </c>
      <c r="K12" s="32"/>
    </row>
    <row r="13" spans="2:13" ht="15.5" x14ac:dyDescent="0.35">
      <c r="B13" s="1" t="s">
        <v>56</v>
      </c>
      <c r="C13" s="118">
        <f>H13</f>
        <v>1.3944000000000001</v>
      </c>
      <c r="D13" s="25">
        <f>POPULATE!D13</f>
        <v>1.4214</v>
      </c>
      <c r="E13" s="31"/>
      <c r="F13" s="31">
        <v>2.7E-2</v>
      </c>
      <c r="G13" s="118">
        <f>POPULATE!D13-F13</f>
        <v>1.3944000000000001</v>
      </c>
      <c r="H13" s="15">
        <f t="shared" si="1"/>
        <v>1.3944000000000001</v>
      </c>
      <c r="I13" s="15">
        <v>1.3007</v>
      </c>
      <c r="J13" s="119">
        <f>(I13-POPULATE!D13)/I13</f>
        <v>-9.2796186668716876E-2</v>
      </c>
      <c r="K13" s="28"/>
    </row>
    <row r="14" spans="2:13" ht="15.5" x14ac:dyDescent="0.35">
      <c r="B14" s="1" t="s">
        <v>57</v>
      </c>
      <c r="C14" s="6">
        <f t="shared" si="0"/>
        <v>1.4023278642546626</v>
      </c>
      <c r="D14" s="25">
        <f>POPULATE!D14</f>
        <v>0.69310000000000005</v>
      </c>
      <c r="E14" s="30"/>
      <c r="F14" s="5">
        <v>0.02</v>
      </c>
      <c r="G14" s="8">
        <f>POPULATE!D14+F14</f>
        <v>0.71310000000000007</v>
      </c>
      <c r="H14" s="15">
        <f>1/G14</f>
        <v>1.4023278642546626</v>
      </c>
      <c r="I14" s="15">
        <v>0.73750000000000004</v>
      </c>
      <c r="J14" s="27">
        <f>(I14-POPULATE!D14)/I14</f>
        <v>6.0203389830508464E-2</v>
      </c>
      <c r="K14" s="28"/>
    </row>
    <row r="15" spans="2:13" ht="15.5" x14ac:dyDescent="0.35">
      <c r="B15" s="1" t="s">
        <v>58</v>
      </c>
      <c r="C15" s="6">
        <f t="shared" si="0"/>
        <v>6.6937000000000006</v>
      </c>
      <c r="D15" s="25">
        <f>POPULATE!D15</f>
        <v>6.7937000000000003</v>
      </c>
      <c r="E15" s="31"/>
      <c r="F15" s="5">
        <v>0.1</v>
      </c>
      <c r="G15" s="8">
        <f>POPULATE!D15-F15</f>
        <v>6.6937000000000006</v>
      </c>
      <c r="H15" s="15">
        <f t="shared" si="1"/>
        <v>6.6937000000000006</v>
      </c>
      <c r="I15" s="15">
        <v>6.5747999999999998</v>
      </c>
      <c r="J15" s="27">
        <f>(I15-POPULATE!D15)/I15</f>
        <v>-3.3293788404210094E-2</v>
      </c>
      <c r="K15" s="28"/>
    </row>
    <row r="16" spans="2:13" ht="15.5" x14ac:dyDescent="0.35">
      <c r="B16" s="1" t="s">
        <v>59</v>
      </c>
      <c r="C16" s="6">
        <f t="shared" si="0"/>
        <v>6.6600999999999999</v>
      </c>
      <c r="D16" s="25">
        <f>POPULATE!D16</f>
        <v>6.7900999999999998</v>
      </c>
      <c r="E16" s="31"/>
      <c r="F16" s="5">
        <v>0.13</v>
      </c>
      <c r="G16" s="8">
        <f>POPULATE!D16-F16</f>
        <v>6.6600999999999999</v>
      </c>
      <c r="H16" s="15">
        <f t="shared" si="1"/>
        <v>6.6600999999999999</v>
      </c>
      <c r="I16" s="15">
        <v>6.5807000000000002</v>
      </c>
      <c r="J16" s="27">
        <f>(I16-POPULATE!D16)/I16</f>
        <v>-3.1820323065935172E-2</v>
      </c>
      <c r="K16" s="28"/>
    </row>
    <row r="17" spans="2:28" ht="15.5" x14ac:dyDescent="0.35">
      <c r="B17" s="1" t="s">
        <v>60</v>
      </c>
      <c r="C17" s="6">
        <f t="shared" si="0"/>
        <v>11.1904</v>
      </c>
      <c r="D17" s="25">
        <f>POPULATE!D17</f>
        <v>11.3904</v>
      </c>
      <c r="E17" s="30"/>
      <c r="F17" s="5">
        <v>0.2</v>
      </c>
      <c r="G17" s="8">
        <f>POPULATE!D17-F17</f>
        <v>11.1904</v>
      </c>
      <c r="H17" s="15">
        <f t="shared" si="1"/>
        <v>11.1904</v>
      </c>
      <c r="I17" s="15">
        <v>5.8</v>
      </c>
      <c r="J17" s="27">
        <f>(I17-POPULATE!D17)/I17</f>
        <v>-0.96386206896551729</v>
      </c>
      <c r="K17" s="28"/>
    </row>
    <row r="18" spans="2:28" ht="15.5" x14ac:dyDescent="0.35">
      <c r="B18" s="1" t="s">
        <v>61</v>
      </c>
      <c r="C18" s="6">
        <f>H18</f>
        <v>46.673999999999999</v>
      </c>
      <c r="D18" s="25">
        <f>POPULATE!D18</f>
        <v>46.823999999999998</v>
      </c>
      <c r="E18" s="30"/>
      <c r="F18" s="5">
        <v>0.15</v>
      </c>
      <c r="G18" s="8">
        <f>POPULATE!D18-F18</f>
        <v>46.673999999999999</v>
      </c>
      <c r="H18" s="15">
        <f t="shared" si="1"/>
        <v>46.673999999999999</v>
      </c>
      <c r="I18" s="15">
        <v>6.9397000000000002</v>
      </c>
      <c r="J18" s="27">
        <f>(I18-POPULATE!D18)/I18</f>
        <v>-5.7472657319480662</v>
      </c>
      <c r="K18" s="28"/>
    </row>
    <row r="19" spans="2:28" ht="15.5" x14ac:dyDescent="0.35">
      <c r="B19" s="1" t="s">
        <v>62</v>
      </c>
      <c r="C19" s="6">
        <f t="shared" si="0"/>
        <v>3.6671</v>
      </c>
      <c r="D19" s="25">
        <f>POPULATE!D19</f>
        <v>3.7570999999999999</v>
      </c>
      <c r="E19" s="31"/>
      <c r="F19" s="5">
        <v>0.09</v>
      </c>
      <c r="G19" s="8">
        <f>POPULATE!D19-F19</f>
        <v>3.6671</v>
      </c>
      <c r="H19" s="15">
        <f t="shared" si="1"/>
        <v>3.6671</v>
      </c>
      <c r="I19" s="15">
        <v>3.7557999999999998</v>
      </c>
      <c r="J19" s="27">
        <f>(I19-POPULATE!D19)/I19</f>
        <v>-3.4613131689655436E-4</v>
      </c>
      <c r="K19" s="28"/>
    </row>
    <row r="20" spans="2:28" ht="15.5" x14ac:dyDescent="0.35">
      <c r="B20" s="1" t="s">
        <v>63</v>
      </c>
      <c r="C20" s="6">
        <f>H20</f>
        <v>9.5178999999999991</v>
      </c>
      <c r="D20" s="25">
        <f>POPULATE!D20</f>
        <v>9.6578999999999997</v>
      </c>
      <c r="E20" s="31"/>
      <c r="F20" s="5">
        <v>0.14000000000000001</v>
      </c>
      <c r="G20" s="8">
        <f>POPULATE!D20-F20</f>
        <v>9.5178999999999991</v>
      </c>
      <c r="H20" s="15">
        <f t="shared" si="1"/>
        <v>9.5178999999999991</v>
      </c>
      <c r="I20" s="15">
        <v>8.5128000000000004</v>
      </c>
      <c r="J20" s="27">
        <f>(I20-POPULATE!D20)/I20</f>
        <v>-0.13451508316887503</v>
      </c>
      <c r="K20" s="28"/>
    </row>
    <row r="21" spans="2:28" ht="15.5" x14ac:dyDescent="0.35">
      <c r="B21" s="1" t="s">
        <v>64</v>
      </c>
      <c r="C21" s="2">
        <f t="shared" si="0"/>
        <v>126.75</v>
      </c>
      <c r="D21" s="25">
        <f>POPULATE!D21</f>
        <v>129.35</v>
      </c>
      <c r="E21" s="31"/>
      <c r="F21" s="5">
        <v>2.6</v>
      </c>
      <c r="G21" s="8">
        <f>POPULATE!D21-F21</f>
        <v>126.75</v>
      </c>
      <c r="H21" s="15">
        <f t="shared" si="1"/>
        <v>126.75</v>
      </c>
      <c r="I21" s="15">
        <v>109.9</v>
      </c>
      <c r="J21" s="27">
        <f>(I21-POPULATE!D21)/I21</f>
        <v>-0.17697907188353038</v>
      </c>
      <c r="K21" s="28"/>
    </row>
    <row r="22" spans="2:28" ht="15.5" x14ac:dyDescent="0.35">
      <c r="B22" s="1" t="s">
        <v>65</v>
      </c>
      <c r="C22" s="2">
        <f t="shared" si="0"/>
        <v>590.19500000000005</v>
      </c>
      <c r="D22" s="25">
        <f>POPULATE!D22</f>
        <v>590.19500000000005</v>
      </c>
      <c r="E22" s="33"/>
      <c r="F22" s="17">
        <v>0</v>
      </c>
      <c r="G22" s="18">
        <f>POPULATE!D22-F22</f>
        <v>590.19500000000005</v>
      </c>
      <c r="H22" s="14">
        <f t="shared" si="1"/>
        <v>590.19500000000005</v>
      </c>
      <c r="I22" s="14">
        <v>470</v>
      </c>
      <c r="J22" s="27">
        <f>(I22-POPULATE!D22)/I22</f>
        <v>-0.2557340425531916</v>
      </c>
      <c r="K22" s="28"/>
    </row>
    <row r="23" spans="2:28" ht="15.5" x14ac:dyDescent="0.35">
      <c r="B23" s="1" t="s">
        <v>66</v>
      </c>
      <c r="C23" s="2">
        <f t="shared" si="0"/>
        <v>93.533000000000001</v>
      </c>
      <c r="D23" s="25">
        <f>POPULATE!D23</f>
        <v>95.533000000000001</v>
      </c>
      <c r="E23" s="31"/>
      <c r="F23" s="5">
        <v>2</v>
      </c>
      <c r="G23" s="8">
        <f>POPULATE!D23-F23</f>
        <v>93.533000000000001</v>
      </c>
      <c r="H23" s="15">
        <f t="shared" si="1"/>
        <v>93.533000000000001</v>
      </c>
      <c r="I23" s="15">
        <v>73.930000000000007</v>
      </c>
      <c r="J23" s="27">
        <f>(I23-POPULATE!D23)/I23</f>
        <v>-0.29220884620587034</v>
      </c>
      <c r="K23" s="28"/>
      <c r="AB23" s="130"/>
    </row>
    <row r="24" spans="2:28" ht="15.5" x14ac:dyDescent="0.35">
      <c r="B24" s="16" t="s">
        <v>67</v>
      </c>
      <c r="C24" s="2">
        <f t="shared" si="0"/>
        <v>102.661</v>
      </c>
      <c r="D24" s="25">
        <f>POPULATE!D24</f>
        <v>104.261</v>
      </c>
      <c r="E24" s="31"/>
      <c r="F24" s="5">
        <v>1.6</v>
      </c>
      <c r="G24" s="8">
        <f>POPULATE!D24-F24</f>
        <v>102.661</v>
      </c>
      <c r="H24" s="15">
        <f t="shared" si="1"/>
        <v>102.661</v>
      </c>
      <c r="I24" s="15">
        <v>99.93</v>
      </c>
      <c r="J24" s="27">
        <f>(I24-POPULATE!D24)/I24</f>
        <v>-4.334033823676562E-2</v>
      </c>
      <c r="K24" s="28"/>
    </row>
    <row r="25" spans="2:28" ht="15.5" x14ac:dyDescent="0.35">
      <c r="B25" s="1" t="s">
        <v>68</v>
      </c>
      <c r="C25" s="6">
        <f t="shared" si="0"/>
        <v>3.5985</v>
      </c>
      <c r="D25" s="25">
        <f>POPULATE!D25</f>
        <v>3.6735000000000002</v>
      </c>
      <c r="E25" s="30"/>
      <c r="F25" s="5">
        <v>7.4999999999999997E-2</v>
      </c>
      <c r="G25" s="8">
        <f>POPULATE!D25-F25</f>
        <v>3.5985</v>
      </c>
      <c r="H25" s="15">
        <f t="shared" si="1"/>
        <v>3.5985</v>
      </c>
      <c r="I25" s="15">
        <v>3.6728000000000001</v>
      </c>
      <c r="J25" s="27">
        <f>(I25-POPULATE!D25)/I25</f>
        <v>-1.905902853409238E-4</v>
      </c>
      <c r="K25" s="28"/>
    </row>
    <row r="26" spans="2:28" ht="15.5" x14ac:dyDescent="0.35">
      <c r="B26" s="1" t="s">
        <v>69</v>
      </c>
      <c r="C26" s="6">
        <f t="shared" si="0"/>
        <v>1.2638</v>
      </c>
      <c r="D26" s="25">
        <f>POPULATE!D26</f>
        <v>1.2938000000000001</v>
      </c>
      <c r="E26" s="30"/>
      <c r="F26" s="5">
        <v>0.03</v>
      </c>
      <c r="G26" s="8">
        <f>POPULATE!D26-F26</f>
        <v>1.2638</v>
      </c>
      <c r="H26" s="15">
        <f t="shared" si="1"/>
        <v>1.2638</v>
      </c>
      <c r="I26" s="15">
        <v>1.3382000000000001</v>
      </c>
      <c r="J26" s="27">
        <f>(I26-POPULATE!D26)/I26</f>
        <v>3.3178897025855622E-2</v>
      </c>
      <c r="K26" s="28"/>
    </row>
    <row r="27" spans="2:28" ht="15.5" x14ac:dyDescent="0.35">
      <c r="B27" s="1" t="s">
        <v>70</v>
      </c>
      <c r="C27" s="2">
        <f>H27</f>
        <v>3656.06</v>
      </c>
      <c r="D27" s="25">
        <f>POPULATE!D27</f>
        <v>3692.06</v>
      </c>
      <c r="E27" s="31"/>
      <c r="F27" s="5">
        <v>36</v>
      </c>
      <c r="G27" s="8">
        <f>POPULATE!D27-F27</f>
        <v>3656.06</v>
      </c>
      <c r="H27" s="15">
        <f t="shared" si="1"/>
        <v>3656.06</v>
      </c>
      <c r="I27" s="15">
        <v>3692</v>
      </c>
      <c r="J27" s="27">
        <f>(I27-POPULATE!D27)/I27</f>
        <v>-1.6251354279508512E-5</v>
      </c>
      <c r="K27" s="28"/>
    </row>
    <row r="28" spans="2:28" ht="15.5" x14ac:dyDescent="0.35">
      <c r="B28" s="1" t="s">
        <v>71</v>
      </c>
      <c r="C28" s="2">
        <f t="shared" si="0"/>
        <v>331</v>
      </c>
      <c r="D28" s="25">
        <f>POPULATE!D28</f>
        <v>335</v>
      </c>
      <c r="E28" s="31"/>
      <c r="F28" s="5">
        <v>4</v>
      </c>
      <c r="G28" s="8">
        <f>POPULATE!D28-F28</f>
        <v>331</v>
      </c>
      <c r="H28" s="15">
        <f t="shared" si="1"/>
        <v>331</v>
      </c>
      <c r="I28" s="15">
        <v>184.8</v>
      </c>
      <c r="J28" s="27">
        <f>(I28-POPULATE!D28)/I28</f>
        <v>-0.8127705627705627</v>
      </c>
      <c r="K28" s="28"/>
    </row>
    <row r="29" spans="2:28" ht="15.5" x14ac:dyDescent="0.35">
      <c r="B29" s="1" t="s">
        <v>72</v>
      </c>
      <c r="C29" s="6">
        <f t="shared" si="0"/>
        <v>2.9072</v>
      </c>
      <c r="D29" s="25">
        <f>POPULATE!D29</f>
        <v>3.0022000000000002</v>
      </c>
      <c r="E29" s="31"/>
      <c r="F29" s="5">
        <v>9.5000000000000001E-2</v>
      </c>
      <c r="G29" s="8">
        <f>POPULATE!D29-F29</f>
        <v>2.9072</v>
      </c>
      <c r="H29" s="15">
        <f t="shared" si="1"/>
        <v>2.9072</v>
      </c>
      <c r="I29" s="15">
        <v>3.3174000000000001</v>
      </c>
      <c r="J29" s="27">
        <f>(I29-POPULATE!D29)/I29</f>
        <v>9.5014167721709744E-2</v>
      </c>
      <c r="K29" s="28"/>
    </row>
    <row r="30" spans="2:28" ht="15.5" x14ac:dyDescent="0.35">
      <c r="B30" s="1" t="s">
        <v>73</v>
      </c>
      <c r="C30" s="2">
        <f t="shared" si="0"/>
        <v>2555.63</v>
      </c>
      <c r="D30" s="25">
        <f>POPULATE!D30</f>
        <v>2625.63</v>
      </c>
      <c r="E30" s="31"/>
      <c r="F30" s="5">
        <v>70</v>
      </c>
      <c r="G30" s="8">
        <f>POPULATE!D30-F30</f>
        <v>2555.63</v>
      </c>
      <c r="H30" s="15">
        <f>G30</f>
        <v>2555.63</v>
      </c>
      <c r="I30" s="15">
        <v>2314</v>
      </c>
      <c r="J30" s="27">
        <f>(I30-POPULATE!D30)/I30</f>
        <v>-0.13467156439066555</v>
      </c>
      <c r="K30" s="28"/>
      <c r="L30" s="35"/>
    </row>
    <row r="31" spans="2:28" ht="15.5" x14ac:dyDescent="0.35">
      <c r="B31" s="1" t="s">
        <v>74</v>
      </c>
      <c r="C31" s="6">
        <f>H31</f>
        <v>14.12</v>
      </c>
      <c r="D31" s="25">
        <f>POPULATE!D31</f>
        <v>14.244999999999999</v>
      </c>
      <c r="E31" s="31"/>
      <c r="F31" s="5">
        <v>0.125</v>
      </c>
      <c r="G31" s="8">
        <f>POPULATE!D31-F31</f>
        <v>14.12</v>
      </c>
      <c r="H31" s="15">
        <f>G31</f>
        <v>14.12</v>
      </c>
      <c r="I31" s="15">
        <v>11.013199999999999</v>
      </c>
      <c r="J31" s="27">
        <f>(I31-POPULATE!D31)/I31</f>
        <v>-0.29344786256492211</v>
      </c>
      <c r="K31" s="28"/>
      <c r="L31" s="35"/>
    </row>
    <row r="32" spans="2:28" ht="15.5" x14ac:dyDescent="0.35">
      <c r="B32" s="1" t="s">
        <v>75</v>
      </c>
      <c r="C32" s="6">
        <f>H32</f>
        <v>6.8137000000000008</v>
      </c>
      <c r="D32" s="25">
        <f>POPULATE!D32</f>
        <v>6.9137000000000004</v>
      </c>
      <c r="E32" s="31"/>
      <c r="F32" s="5">
        <v>0.1</v>
      </c>
      <c r="G32" s="8">
        <f>POPULATE!D32-F32</f>
        <v>6.8137000000000008</v>
      </c>
      <c r="H32" s="15">
        <f>G32</f>
        <v>6.8137000000000008</v>
      </c>
      <c r="I32" s="15">
        <v>6.7428999999999997</v>
      </c>
      <c r="J32" s="27">
        <f>(I32-POPULATE!D32)/I32</f>
        <v>-2.533034747660513E-2</v>
      </c>
      <c r="K32" s="28"/>
    </row>
    <row r="33" spans="2:22" ht="15.5" x14ac:dyDescent="0.35">
      <c r="B33" s="1" t="s">
        <v>76</v>
      </c>
      <c r="C33" s="6">
        <f t="shared" ref="C33:C43" si="2">H33</f>
        <v>47.27</v>
      </c>
      <c r="D33" s="25">
        <f>POPULATE!D33</f>
        <v>48.07</v>
      </c>
      <c r="E33" s="31"/>
      <c r="F33" s="5">
        <v>0.8</v>
      </c>
      <c r="G33" s="8">
        <f>POPULATE!D33-F33</f>
        <v>47.27</v>
      </c>
      <c r="H33" s="15">
        <f t="shared" si="1"/>
        <v>47.27</v>
      </c>
      <c r="I33" s="15">
        <v>39.700000000000003</v>
      </c>
      <c r="J33" s="27">
        <f>(I33-POPULATE!D33)/I33</f>
        <v>-0.21083123425692687</v>
      </c>
      <c r="K33" s="28"/>
    </row>
    <row r="34" spans="2:22" ht="15.5" x14ac:dyDescent="0.35">
      <c r="B34" s="1" t="s">
        <v>77</v>
      </c>
      <c r="C34" s="2">
        <f t="shared" si="2"/>
        <v>579.73400000000004</v>
      </c>
      <c r="D34" s="25">
        <f>POPULATE!D34</f>
        <v>590.23400000000004</v>
      </c>
      <c r="E34" s="31"/>
      <c r="F34" s="5">
        <v>10.5</v>
      </c>
      <c r="G34" s="8">
        <f>POPULATE!D34-F34</f>
        <v>579.73400000000004</v>
      </c>
      <c r="H34" s="15">
        <f t="shared" si="1"/>
        <v>579.73400000000004</v>
      </c>
      <c r="I34" s="15">
        <v>550.59699999999998</v>
      </c>
      <c r="J34" s="27">
        <f>(I34-POPULATE!D34)/I34</f>
        <v>-7.1989131796940525E-2</v>
      </c>
      <c r="K34" s="28"/>
    </row>
    <row r="35" spans="2:22" ht="15.5" x14ac:dyDescent="0.35">
      <c r="B35" s="1" t="s">
        <v>78</v>
      </c>
      <c r="C35" s="118">
        <f t="shared" si="2"/>
        <v>4.5020999999999995</v>
      </c>
      <c r="D35" s="25">
        <f>POPULATE!D35</f>
        <v>4.5820999999999996</v>
      </c>
      <c r="E35" s="31"/>
      <c r="F35" s="31">
        <v>0.08</v>
      </c>
      <c r="G35" s="118">
        <f>POPULATE!D35-F35</f>
        <v>4.5020999999999995</v>
      </c>
      <c r="H35" s="15">
        <f t="shared" si="1"/>
        <v>4.5020999999999995</v>
      </c>
      <c r="I35" s="15">
        <v>4.0871000000000004</v>
      </c>
      <c r="J35" s="119">
        <f>(I35-POPULATE!D35)/I35</f>
        <v>-0.12111276944532778</v>
      </c>
      <c r="K35" s="28"/>
      <c r="U35" s="36"/>
    </row>
    <row r="36" spans="2:22" ht="15.5" x14ac:dyDescent="0.35">
      <c r="B36" s="1" t="s">
        <v>79</v>
      </c>
      <c r="C36" s="11">
        <f t="shared" si="2"/>
        <v>23835.390599999999</v>
      </c>
      <c r="D36" s="25">
        <f>POPULATE!D36</f>
        <v>24435.390599999999</v>
      </c>
      <c r="E36" s="31"/>
      <c r="F36" s="5">
        <v>600</v>
      </c>
      <c r="G36" s="8">
        <f>POPULATE!D36-F36</f>
        <v>23835.390599999999</v>
      </c>
      <c r="H36" s="15">
        <f t="shared" si="1"/>
        <v>23835.390599999999</v>
      </c>
      <c r="I36" s="15">
        <v>10040.459000000001</v>
      </c>
      <c r="J36" s="27">
        <f>(I36-POPULATE!D36)/I36</f>
        <v>-1.433692583177721</v>
      </c>
      <c r="K36" s="28"/>
      <c r="V36" s="36"/>
    </row>
    <row r="37" spans="2:22" ht="15.5" x14ac:dyDescent="0.35">
      <c r="B37" s="1" t="s">
        <v>80</v>
      </c>
      <c r="C37" s="2">
        <f t="shared" si="2"/>
        <v>44.606999999999999</v>
      </c>
      <c r="D37" s="25">
        <f>POPULATE!D37</f>
        <v>45.906999999999996</v>
      </c>
      <c r="E37" s="31"/>
      <c r="F37" s="5">
        <v>1.3</v>
      </c>
      <c r="G37" s="8">
        <f>POPULATE!D37-F37</f>
        <v>44.606999999999999</v>
      </c>
      <c r="H37" s="15">
        <f t="shared" si="1"/>
        <v>44.606999999999999</v>
      </c>
      <c r="I37" s="15">
        <v>28.459</v>
      </c>
      <c r="J37" s="27">
        <f>(I37-POPULATE!D37)/I37</f>
        <v>-0.61309251906251083</v>
      </c>
      <c r="K37" s="28"/>
    </row>
    <row r="38" spans="2:22" ht="15.5" x14ac:dyDescent="0.35">
      <c r="B38" s="1" t="s">
        <v>81</v>
      </c>
      <c r="C38" s="6">
        <f t="shared" si="2"/>
        <v>2.645</v>
      </c>
      <c r="D38" s="25">
        <f>POPULATE!D38</f>
        <v>2.72</v>
      </c>
      <c r="E38" s="31"/>
      <c r="F38" s="5">
        <v>7.4999999999999997E-2</v>
      </c>
      <c r="G38" s="8">
        <f>POPULATE!D38-F38</f>
        <v>2.645</v>
      </c>
      <c r="H38" s="15">
        <f t="shared" si="1"/>
        <v>2.645</v>
      </c>
      <c r="I38" s="15">
        <v>2.7</v>
      </c>
      <c r="J38" s="27">
        <f>(I38-POPULATE!D38)/I38</f>
        <v>-7.4074074074074138E-3</v>
      </c>
      <c r="K38" s="28"/>
    </row>
    <row r="39" spans="2:22" ht="15.5" x14ac:dyDescent="0.35">
      <c r="B39" s="1" t="s">
        <v>82</v>
      </c>
      <c r="C39" s="2">
        <f>H39</f>
        <v>3229.4520000000002</v>
      </c>
      <c r="D39" s="25">
        <f>POPULATE!D39</f>
        <v>3268.4520000000002</v>
      </c>
      <c r="E39" s="31"/>
      <c r="F39" s="5">
        <v>39</v>
      </c>
      <c r="G39" s="8">
        <f>POPULATE!D39-F39</f>
        <v>3229.4520000000002</v>
      </c>
      <c r="H39" s="15">
        <f t="shared" si="1"/>
        <v>3229.4520000000002</v>
      </c>
      <c r="I39" s="15">
        <v>1312</v>
      </c>
      <c r="J39" s="27">
        <f>(I39-POPULATE!D39)/I39</f>
        <v>-1.4911981707317075</v>
      </c>
      <c r="K39" s="28"/>
    </row>
    <row r="40" spans="2:22" ht="15.5" x14ac:dyDescent="0.35">
      <c r="B40" s="1" t="s">
        <v>83</v>
      </c>
      <c r="C40" s="2">
        <f t="shared" si="2"/>
        <v>60.021999999999998</v>
      </c>
      <c r="D40" s="25">
        <f>POPULATE!D40</f>
        <v>61.531999999999996</v>
      </c>
      <c r="E40" s="31"/>
      <c r="F40" s="5">
        <v>1.51</v>
      </c>
      <c r="G40" s="8">
        <f>POPULATE!D40-F40</f>
        <v>60.021999999999998</v>
      </c>
      <c r="H40" s="15">
        <f t="shared" si="1"/>
        <v>60.021999999999998</v>
      </c>
      <c r="I40" s="15">
        <v>48.14</v>
      </c>
      <c r="J40" s="27">
        <f>(I40-POPULATE!D40)/I40</f>
        <v>-0.27818861653510585</v>
      </c>
      <c r="K40" s="28"/>
    </row>
    <row r="41" spans="2:22" ht="15.5" x14ac:dyDescent="0.35">
      <c r="B41" s="1" t="s">
        <v>84</v>
      </c>
      <c r="C41" s="2">
        <f>H41</f>
        <v>25903.1</v>
      </c>
      <c r="D41" s="25">
        <f>POPULATE!D41</f>
        <v>26303.1</v>
      </c>
      <c r="E41" s="31"/>
      <c r="F41" s="5">
        <v>400</v>
      </c>
      <c r="G41" s="8">
        <f>POPULATE!D41-F41</f>
        <v>25903.1</v>
      </c>
      <c r="H41" s="15">
        <f t="shared" si="1"/>
        <v>25903.1</v>
      </c>
      <c r="I41" s="15">
        <v>23160</v>
      </c>
      <c r="J41" s="27">
        <f>(I41-POPULATE!D41)/I41</f>
        <v>-0.13571243523316057</v>
      </c>
      <c r="K41" s="28"/>
    </row>
    <row r="42" spans="2:22" ht="15.5" x14ac:dyDescent="0.35">
      <c r="B42" s="1" t="s">
        <v>85</v>
      </c>
      <c r="C42" s="6">
        <f t="shared" si="2"/>
        <v>7.7430000000000003</v>
      </c>
      <c r="D42" s="25">
        <f>POPULATE!D42</f>
        <v>7.843</v>
      </c>
      <c r="E42" s="31"/>
      <c r="F42" s="5">
        <v>0.1</v>
      </c>
      <c r="G42" s="8">
        <f>POPULATE!D42-F42</f>
        <v>7.7430000000000003</v>
      </c>
      <c r="H42" s="15">
        <f t="shared" si="1"/>
        <v>7.7430000000000003</v>
      </c>
      <c r="I42" s="15">
        <v>7.7507000000000001</v>
      </c>
      <c r="J42" s="27">
        <f>(I42-POPULATE!D42)/I42</f>
        <v>-1.190860180370803E-2</v>
      </c>
      <c r="K42" s="28"/>
    </row>
    <row r="43" spans="2:22" ht="15.5" x14ac:dyDescent="0.35">
      <c r="B43" s="1" t="s">
        <v>86</v>
      </c>
      <c r="C43" s="6">
        <f t="shared" si="2"/>
        <v>3.6797</v>
      </c>
      <c r="D43" s="25">
        <f>POPULATE!D43</f>
        <v>3.7547000000000001</v>
      </c>
      <c r="E43" s="31"/>
      <c r="F43" s="5">
        <v>7.4999999999999997E-2</v>
      </c>
      <c r="G43" s="8">
        <f>POPULATE!D43-F43</f>
        <v>3.6797</v>
      </c>
      <c r="H43" s="15">
        <f t="shared" si="1"/>
        <v>3.6797</v>
      </c>
      <c r="I43" s="15">
        <v>3.7504</v>
      </c>
      <c r="J43" s="27">
        <f>(I43-POPULATE!D43)/I43</f>
        <v>-1.1465443686007339E-3</v>
      </c>
      <c r="K43" s="28"/>
    </row>
  </sheetData>
  <sheetProtection algorithmName="SHA-512" hashValue="+mqSoiiNprLvWSVSnnDlXtNiLLkRozCRXDZQbEqA0IyWSXN7qiNTVG7RxrQjHmCDy83vMh8XLSJ/TFmZ0v1KPg==" saltValue="fU9PPHP8ovEF2sMBUbvMoA==" spinCount="100000" sheet="1" objects="1" scenarios="1"/>
  <mergeCells count="1">
    <mergeCell ref="F4:G4"/>
  </mergeCells>
  <conditionalFormatting sqref="C6">
    <cfRule type="cellIs" dxfId="146" priority="1" operator="greaterThan">
      <formula>1500</formula>
    </cfRule>
  </conditionalFormatting>
  <conditionalFormatting sqref="C7">
    <cfRule type="cellIs" dxfId="145" priority="76" operator="lessThan">
      <formula>0.8</formula>
    </cfRule>
    <cfRule type="cellIs" dxfId="144" priority="77" operator="greaterThan">
      <formula>0.88</formula>
    </cfRule>
  </conditionalFormatting>
  <conditionalFormatting sqref="C8">
    <cfRule type="cellIs" dxfId="143" priority="75" operator="greaterThan">
      <formula>161</formula>
    </cfRule>
    <cfRule type="cellIs" dxfId="142" priority="74" operator="lessThan">
      <formula>140</formula>
    </cfRule>
  </conditionalFormatting>
  <conditionalFormatting sqref="C9">
    <cfRule type="cellIs" dxfId="141" priority="73" operator="greaterThan">
      <formula>0.84</formula>
    </cfRule>
  </conditionalFormatting>
  <conditionalFormatting sqref="C9:C10">
    <cfRule type="cellIs" dxfId="140" priority="70" operator="lessThan">
      <formula>0.7</formula>
    </cfRule>
  </conditionalFormatting>
  <conditionalFormatting sqref="C10">
    <cfRule type="cellIs" dxfId="139" priority="71" operator="greaterThan">
      <formula>0.85</formula>
    </cfRule>
  </conditionalFormatting>
  <conditionalFormatting sqref="C11">
    <cfRule type="cellIs" dxfId="138" priority="69" operator="greaterThan">
      <formula>20</formula>
    </cfRule>
    <cfRule type="cellIs" dxfId="137" priority="68" operator="lessThan">
      <formula>15.5</formula>
    </cfRule>
  </conditionalFormatting>
  <conditionalFormatting sqref="C12">
    <cfRule type="cellIs" dxfId="136" priority="67" operator="greaterThan">
      <formula>8</formula>
    </cfRule>
    <cfRule type="cellIs" dxfId="135" priority="66" operator="lessThan">
      <formula>6.1</formula>
    </cfRule>
  </conditionalFormatting>
  <conditionalFormatting sqref="C13">
    <cfRule type="cellIs" dxfId="134" priority="65" operator="greaterThan">
      <formula>1.445</formula>
    </cfRule>
    <cfRule type="cellIs" dxfId="133" priority="64" operator="lessThan">
      <formula>1.33</formula>
    </cfRule>
  </conditionalFormatting>
  <conditionalFormatting sqref="C14">
    <cfRule type="cellIs" dxfId="132" priority="63" operator="greaterThan">
      <formula>1.55</formula>
    </cfRule>
    <cfRule type="cellIs" dxfId="131" priority="62" operator="lessThan">
      <formula>1.35</formula>
    </cfRule>
  </conditionalFormatting>
  <conditionalFormatting sqref="C15:C16">
    <cfRule type="cellIs" dxfId="130" priority="59" operator="greaterThan">
      <formula>7.2</formula>
    </cfRule>
    <cfRule type="cellIs" dxfId="129" priority="58" operator="lessThan">
      <formula>6.5</formula>
    </cfRule>
  </conditionalFormatting>
  <conditionalFormatting sqref="C17">
    <cfRule type="cellIs" dxfId="128" priority="57" operator="greaterThan">
      <formula>13.5</formula>
    </cfRule>
    <cfRule type="cellIs" dxfId="127" priority="56" operator="lessThan">
      <formula>10</formula>
    </cfRule>
  </conditionalFormatting>
  <conditionalFormatting sqref="C18">
    <cfRule type="cellIs" dxfId="126" priority="54" operator="lessThan">
      <formula>35</formula>
    </cfRule>
    <cfRule type="cellIs" dxfId="125" priority="55" operator="greaterThan">
      <formula>50</formula>
    </cfRule>
  </conditionalFormatting>
  <conditionalFormatting sqref="C19">
    <cfRule type="cellIs" dxfId="124" priority="53" operator="greaterThan">
      <formula>4</formula>
    </cfRule>
    <cfRule type="cellIs" dxfId="123" priority="52" operator="lessThan">
      <formula>3.4</formula>
    </cfRule>
  </conditionalFormatting>
  <conditionalFormatting sqref="C20">
    <cfRule type="cellIs" dxfId="122" priority="51" operator="greaterThan">
      <formula>11</formula>
    </cfRule>
    <cfRule type="cellIs" dxfId="121" priority="50" operator="lessThan">
      <formula>8.5</formula>
    </cfRule>
  </conditionalFormatting>
  <conditionalFormatting sqref="C21">
    <cfRule type="cellIs" dxfId="120" priority="49" operator="greaterThan">
      <formula>162</formula>
    </cfRule>
    <cfRule type="cellIs" dxfId="119" priority="48" operator="lessThan">
      <formula>125</formula>
    </cfRule>
  </conditionalFormatting>
  <conditionalFormatting sqref="C22">
    <cfRule type="cellIs" dxfId="118" priority="47" operator="greaterThan">
      <formula>600</formula>
    </cfRule>
    <cfRule type="cellIs" dxfId="117" priority="46" operator="lessThan">
      <formula>545</formula>
    </cfRule>
  </conditionalFormatting>
  <conditionalFormatting sqref="C23">
    <cfRule type="cellIs" dxfId="116" priority="45" operator="greaterThan">
      <formula>96</formula>
    </cfRule>
    <cfRule type="cellIs" dxfId="115" priority="44" operator="lessThan">
      <formula>82</formula>
    </cfRule>
  </conditionalFormatting>
  <conditionalFormatting sqref="C24">
    <cfRule type="cellIs" dxfId="114" priority="43" operator="greaterThan">
      <formula>110</formula>
    </cfRule>
    <cfRule type="cellIs" dxfId="113" priority="42" operator="lessThan">
      <formula>95</formula>
    </cfRule>
  </conditionalFormatting>
  <conditionalFormatting sqref="C25">
    <cfRule type="cellIs" dxfId="112" priority="41" operator="greaterThan">
      <formula>4</formula>
    </cfRule>
    <cfRule type="cellIs" dxfId="111" priority="40" operator="lessThan">
      <formula>3.1</formula>
    </cfRule>
  </conditionalFormatting>
  <conditionalFormatting sqref="C26">
    <cfRule type="cellIs" dxfId="110" priority="39" operator="greaterThan">
      <formula>1.5</formula>
    </cfRule>
    <cfRule type="cellIs" dxfId="109" priority="38" operator="lessThan">
      <formula>1.1</formula>
    </cfRule>
  </conditionalFormatting>
  <conditionalFormatting sqref="C27">
    <cfRule type="cellIs" dxfId="108" priority="36" operator="lessThan">
      <formula>3400</formula>
    </cfRule>
    <cfRule type="cellIs" dxfId="107" priority="37" operator="greaterThan">
      <formula>39003</formula>
    </cfRule>
  </conditionalFormatting>
  <conditionalFormatting sqref="C28">
    <cfRule type="cellIs" dxfId="106" priority="35" operator="greaterThan">
      <formula>340</formula>
    </cfRule>
    <cfRule type="cellIs" dxfId="105" priority="34" operator="lessThan">
      <formula>295</formula>
    </cfRule>
  </conditionalFormatting>
  <conditionalFormatting sqref="C29">
    <cfRule type="cellIs" dxfId="104" priority="33" operator="greaterThan">
      <formula>3.1</formula>
    </cfRule>
    <cfRule type="cellIs" dxfId="103" priority="32" operator="lessThan">
      <formula>2.5</formula>
    </cfRule>
  </conditionalFormatting>
  <conditionalFormatting sqref="C30">
    <cfRule type="cellIs" dxfId="102" priority="31" operator="greaterThan">
      <formula>3450</formula>
    </cfRule>
    <cfRule type="cellIs" dxfId="101" priority="30" operator="lessThan">
      <formula>2250</formula>
    </cfRule>
  </conditionalFormatting>
  <conditionalFormatting sqref="C31">
    <cfRule type="cellIs" dxfId="100" priority="29" operator="greaterThan">
      <formula>14.5</formula>
    </cfRule>
    <cfRule type="cellIs" dxfId="99" priority="28" operator="lessThan">
      <formula>12.5</formula>
    </cfRule>
  </conditionalFormatting>
  <conditionalFormatting sqref="C32">
    <cfRule type="cellIs" dxfId="98" priority="27" operator="greaterThan">
      <formula>7</formula>
    </cfRule>
    <cfRule type="cellIs" dxfId="97" priority="26" operator="lessThan">
      <formula>6</formula>
    </cfRule>
  </conditionalFormatting>
  <conditionalFormatting sqref="C33">
    <cfRule type="cellIs" dxfId="96" priority="25" operator="greaterThan">
      <formula>483</formula>
    </cfRule>
    <cfRule type="cellIs" dxfId="95" priority="24" operator="lessThan">
      <formula>41</formula>
    </cfRule>
  </conditionalFormatting>
  <conditionalFormatting sqref="C34">
    <cfRule type="cellIs" dxfId="94" priority="23" operator="greaterThan">
      <formula>590</formula>
    </cfRule>
    <cfRule type="cellIs" dxfId="93" priority="22" operator="lessThan">
      <formula>535</formula>
    </cfRule>
  </conditionalFormatting>
  <conditionalFormatting sqref="C35">
    <cfRule type="cellIs" dxfId="92" priority="3" operator="greaterThan">
      <formula>4.9</formula>
    </cfRule>
    <cfRule type="cellIs" dxfId="91" priority="2" operator="lessThan">
      <formula>4</formula>
    </cfRule>
  </conditionalFormatting>
  <conditionalFormatting sqref="C36">
    <cfRule type="cellIs" dxfId="90" priority="18" operator="lessThan">
      <formula>18500</formula>
    </cfRule>
    <cfRule type="cellIs" dxfId="89" priority="19" operator="greaterThan">
      <formula>24000</formula>
    </cfRule>
  </conditionalFormatting>
  <conditionalFormatting sqref="C37">
    <cfRule type="cellIs" dxfId="88" priority="16" operator="lessThan">
      <formula>41</formula>
    </cfRule>
    <cfRule type="cellIs" dxfId="87" priority="17" operator="greaterThan">
      <formula>45</formula>
    </cfRule>
  </conditionalFormatting>
  <conditionalFormatting sqref="C38">
    <cfRule type="cellIs" dxfId="86" priority="15" operator="greaterThan">
      <formula>2.95</formula>
    </cfRule>
    <cfRule type="cellIs" dxfId="85" priority="14" operator="lessThan">
      <formula>2.2</formula>
    </cfRule>
  </conditionalFormatting>
  <conditionalFormatting sqref="C39">
    <cfRule type="cellIs" dxfId="84" priority="13" operator="greaterThan">
      <formula>3400</formula>
    </cfRule>
    <cfRule type="cellIs" dxfId="83" priority="12" operator="lessThan">
      <formula>2800</formula>
    </cfRule>
  </conditionalFormatting>
  <conditionalFormatting sqref="C40">
    <cfRule type="cellIs" dxfId="82" priority="10" operator="lessThan">
      <formula>52</formula>
    </cfRule>
    <cfRule type="cellIs" dxfId="81" priority="11" operator="greaterThan">
      <formula>63</formula>
    </cfRule>
  </conditionalFormatting>
  <conditionalFormatting sqref="C41">
    <cfRule type="cellIs" dxfId="80" priority="9" operator="greaterThan">
      <formula>27000</formula>
    </cfRule>
    <cfRule type="cellIs" dxfId="79" priority="8" operator="lessThan">
      <formula>23000</formula>
    </cfRule>
  </conditionalFormatting>
  <conditionalFormatting sqref="C42">
    <cfRule type="cellIs" dxfId="78" priority="7" operator="greaterThan">
      <formula>8.2</formula>
    </cfRule>
    <cfRule type="cellIs" dxfId="77" priority="6" operator="lessThan">
      <formula>7</formula>
    </cfRule>
  </conditionalFormatting>
  <conditionalFormatting sqref="C43">
    <cfRule type="cellIs" dxfId="76" priority="5" operator="greaterThan">
      <formula>4</formula>
    </cfRule>
    <cfRule type="cellIs" dxfId="75" priority="4" operator="lessThan">
      <formula>3</formula>
    </cfRule>
  </conditionalFormatting>
  <pageMargins left="0.25" right="0.25" top="0.75" bottom="0.75" header="0.3" footer="0.3"/>
  <pageSetup scale="87" orientation="landscape" r:id="rId1"/>
  <headerFooter>
    <oddFooter>&amp;L&amp;1#&amp;"Calibri"&amp;10&amp;K000000Classified as Internal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48C1-D52C-43F1-9464-EE554660562A}">
  <sheetPr>
    <pageSetUpPr fitToPage="1"/>
  </sheetPr>
  <dimension ref="A2:AB47"/>
  <sheetViews>
    <sheetView topLeftCell="A3" zoomScale="70" zoomScaleNormal="85" workbookViewId="0">
      <selection activeCell="D6" sqref="D6"/>
    </sheetView>
  </sheetViews>
  <sheetFormatPr defaultColWidth="9.26953125" defaultRowHeight="12.5" x14ac:dyDescent="0.25"/>
  <cols>
    <col min="1" max="1" width="9.26953125" style="9"/>
    <col min="2" max="2" width="6.81640625" style="9" customWidth="1"/>
    <col min="3" max="3" width="19.36328125" style="9" hidden="1" customWidth="1"/>
    <col min="4" max="4" width="19.26953125" style="9" bestFit="1" customWidth="1"/>
    <col min="5" max="5" width="40" style="9" customWidth="1"/>
    <col min="6" max="6" width="25" style="9" customWidth="1"/>
    <col min="7" max="7" width="27.81640625" style="9" bestFit="1" customWidth="1"/>
    <col min="8" max="8" width="18.08984375" style="9" customWidth="1"/>
    <col min="9" max="9" width="9.26953125" style="9" customWidth="1"/>
    <col min="10" max="15" width="0" style="9" hidden="1" customWidth="1"/>
    <col min="16" max="17" width="9.26953125" style="9"/>
    <col min="18" max="18" width="16" style="9" bestFit="1" customWidth="1"/>
    <col min="19" max="19" width="19.7265625" style="9" bestFit="1" customWidth="1"/>
    <col min="20" max="21" width="11" style="9" bestFit="1" customWidth="1"/>
    <col min="22" max="16384" width="9.26953125" style="9"/>
  </cols>
  <sheetData>
    <row r="2" spans="1:21" ht="13" thickBot="1" x14ac:dyDescent="0.3">
      <c r="B2" s="146"/>
      <c r="C2" s="146"/>
      <c r="D2" s="146"/>
      <c r="E2" s="146"/>
      <c r="F2" s="146"/>
      <c r="G2" s="146"/>
      <c r="H2" s="146"/>
      <c r="I2" s="146"/>
    </row>
    <row r="3" spans="1:21" ht="78" customHeight="1" x14ac:dyDescent="0.5">
      <c r="A3" s="144"/>
      <c r="B3" s="148"/>
      <c r="C3" s="149" t="s">
        <v>43</v>
      </c>
      <c r="D3" s="149" t="s">
        <v>144</v>
      </c>
      <c r="E3" s="150" t="s">
        <v>96</v>
      </c>
      <c r="F3" s="168" t="s">
        <v>147</v>
      </c>
      <c r="G3" s="169"/>
      <c r="H3" s="169"/>
      <c r="I3" s="170"/>
      <c r="J3" s="145"/>
    </row>
    <row r="4" spans="1:21" ht="14.5" x14ac:dyDescent="0.35">
      <c r="A4" s="144"/>
      <c r="B4" s="151"/>
      <c r="I4" s="152"/>
      <c r="J4" s="145"/>
      <c r="R4" s="139"/>
      <c r="S4" s="139" t="e">
        <f ca="1">_xll.BFieldInfo(S$5)</f>
        <v>#NAME?</v>
      </c>
      <c r="T4" s="139" t="e">
        <f ca="1">_xll.BFieldInfo(T$5)</f>
        <v>#NAME?</v>
      </c>
      <c r="U4" s="139" t="e">
        <f ca="1">_xll.BFieldInfo(U$5)</f>
        <v>#NAME?</v>
      </c>
    </row>
    <row r="5" spans="1:21" ht="13.5" customHeight="1" x14ac:dyDescent="0.35">
      <c r="A5" s="144"/>
      <c r="B5" s="151"/>
      <c r="C5" s="133"/>
      <c r="D5" s="24"/>
      <c r="I5" s="152"/>
      <c r="J5" s="145"/>
      <c r="R5" s="139"/>
      <c r="S5" s="139" t="s">
        <v>138</v>
      </c>
      <c r="T5" s="139" t="s">
        <v>137</v>
      </c>
      <c r="U5" s="139" t="s">
        <v>136</v>
      </c>
    </row>
    <row r="6" spans="1:21" ht="15.5" x14ac:dyDescent="0.35">
      <c r="A6" s="144"/>
      <c r="B6" s="153" t="s">
        <v>49</v>
      </c>
      <c r="C6" s="2">
        <v>1999</v>
      </c>
      <c r="D6" s="25">
        <v>1375</v>
      </c>
      <c r="F6" s="3"/>
      <c r="G6" s="140" t="s">
        <v>13</v>
      </c>
      <c r="H6" s="141" t="s">
        <v>145</v>
      </c>
      <c r="I6" s="152"/>
      <c r="J6" s="145"/>
      <c r="R6" s="139" t="s">
        <v>135</v>
      </c>
      <c r="S6" s="139" t="e">
        <f ca="1">_xll.BDP($R6,S$5)</f>
        <v>#NAME?</v>
      </c>
      <c r="T6" s="139" t="e">
        <f ca="1">_xll.BDP($R6,T$5)</f>
        <v>#NAME?</v>
      </c>
      <c r="U6" s="139" t="e">
        <f ca="1">_xll.BDP($R6,U$5)</f>
        <v>#NAME?</v>
      </c>
    </row>
    <row r="7" spans="1:21" ht="15.5" x14ac:dyDescent="0.35">
      <c r="A7" s="144"/>
      <c r="B7" s="153" t="s">
        <v>50</v>
      </c>
      <c r="C7" s="6">
        <v>1550</v>
      </c>
      <c r="D7" s="29">
        <v>1.1425000000000001</v>
      </c>
      <c r="F7" s="19" t="s">
        <v>11</v>
      </c>
      <c r="G7" s="143">
        <v>1345</v>
      </c>
      <c r="H7" s="143">
        <v>1375</v>
      </c>
      <c r="I7" s="152"/>
      <c r="J7" s="145"/>
      <c r="R7" s="139" t="s">
        <v>134</v>
      </c>
      <c r="S7" s="139" t="e">
        <f ca="1">_xll.BDP($R7,S$5)</f>
        <v>#NAME?</v>
      </c>
      <c r="T7" s="139" t="e">
        <f ca="1">_xll.BDP($R7,T$5)</f>
        <v>#NAME?</v>
      </c>
      <c r="U7" s="139" t="e">
        <f ca="1">_xll.BDP($R7,U$5)</f>
        <v>#NAME?</v>
      </c>
    </row>
    <row r="8" spans="1:21" ht="15.5" x14ac:dyDescent="0.35">
      <c r="A8" s="144"/>
      <c r="B8" s="153" t="s">
        <v>51</v>
      </c>
      <c r="C8" s="2">
        <v>0</v>
      </c>
      <c r="D8" s="29">
        <v>162.18</v>
      </c>
      <c r="F8" s="19"/>
      <c r="G8" s="81"/>
      <c r="I8" s="152"/>
      <c r="J8" s="145"/>
      <c r="R8" s="139" t="s">
        <v>133</v>
      </c>
      <c r="S8" s="139" t="e">
        <f ca="1">_xll.BDP($R8,S$5)</f>
        <v>#NAME?</v>
      </c>
      <c r="T8" s="139" t="e">
        <f ca="1">_xll.BDP($R8,T$5)</f>
        <v>#NAME?</v>
      </c>
      <c r="U8" s="139" t="e">
        <f ca="1">_xll.BDP($R8,U$5)</f>
        <v>#NAME?</v>
      </c>
    </row>
    <row r="9" spans="1:21" ht="15.5" x14ac:dyDescent="0.35">
      <c r="A9" s="144"/>
      <c r="B9" s="153" t="s">
        <v>52</v>
      </c>
      <c r="C9" s="6">
        <v>0</v>
      </c>
      <c r="D9" s="29">
        <v>1.3333999999999999</v>
      </c>
      <c r="F9" s="19" t="s">
        <v>15</v>
      </c>
      <c r="G9" s="81">
        <v>1.1423000000000001</v>
      </c>
      <c r="I9" s="152"/>
      <c r="J9" s="145"/>
      <c r="R9" s="139" t="s">
        <v>132</v>
      </c>
      <c r="S9" s="139" t="e">
        <f ca="1">_xll.BDP($R9,S$5)</f>
        <v>#NAME?</v>
      </c>
      <c r="T9" s="139" t="e">
        <f ca="1">_xll.BDP($R9,T$5)</f>
        <v>#NAME?</v>
      </c>
      <c r="U9" s="139" t="e">
        <f ca="1">_xll.BDP($R9,U$5)</f>
        <v>#NAME?</v>
      </c>
    </row>
    <row r="10" spans="1:21" ht="15.5" x14ac:dyDescent="0.35">
      <c r="A10" s="144"/>
      <c r="B10" s="153" t="s">
        <v>53</v>
      </c>
      <c r="C10" s="6">
        <v>147.56</v>
      </c>
      <c r="D10" s="29">
        <v>0.80530000000000002</v>
      </c>
      <c r="F10" s="19" t="s">
        <v>19</v>
      </c>
      <c r="G10" s="81">
        <v>162.16999999999999</v>
      </c>
      <c r="I10" s="152"/>
      <c r="J10" s="145"/>
      <c r="R10" s="139" t="s">
        <v>131</v>
      </c>
      <c r="S10" s="139" t="e">
        <f ca="1">_xll.BDP($R10,S$5)</f>
        <v>#NAME?</v>
      </c>
      <c r="T10" s="139" t="e">
        <f ca="1">_xll.BDP($R10,T$5)</f>
        <v>#NAME?</v>
      </c>
      <c r="U10" s="139" t="e">
        <f ca="1">_xll.BDP($R10,U$5)</f>
        <v>#NAME?</v>
      </c>
    </row>
    <row r="11" spans="1:21" ht="15.5" x14ac:dyDescent="0.35">
      <c r="A11" s="144"/>
      <c r="B11" s="153" t="s">
        <v>54</v>
      </c>
      <c r="C11" s="6">
        <v>0</v>
      </c>
      <c r="D11" s="29">
        <v>16.2561</v>
      </c>
      <c r="F11" s="3" t="s">
        <v>22</v>
      </c>
      <c r="G11" s="81">
        <v>1.3331999999999999</v>
      </c>
      <c r="I11" s="152"/>
      <c r="J11" s="145"/>
      <c r="R11" s="139" t="s">
        <v>130</v>
      </c>
      <c r="S11" s="139" t="e">
        <f ca="1">_xll.BDP($R11,S$5)</f>
        <v>#NAME?</v>
      </c>
      <c r="T11" s="139" t="e">
        <f ca="1">_xll.BDP($R11,T$5)</f>
        <v>#NAME?</v>
      </c>
      <c r="U11" s="139" t="e">
        <f ca="1">_xll.BDP($R11,U$5)</f>
        <v>#NAME?</v>
      </c>
    </row>
    <row r="12" spans="1:21" ht="15.5" x14ac:dyDescent="0.35">
      <c r="A12" s="144"/>
      <c r="B12" s="153" t="s">
        <v>55</v>
      </c>
      <c r="C12" s="6">
        <v>0.80789999999999995</v>
      </c>
      <c r="D12" s="29">
        <v>6.5441000000000003</v>
      </c>
      <c r="F12" s="3" t="s">
        <v>25</v>
      </c>
      <c r="G12" s="81">
        <v>0.80500000000000005</v>
      </c>
      <c r="I12" s="152"/>
      <c r="J12" s="145"/>
      <c r="R12" s="139" t="s">
        <v>129</v>
      </c>
      <c r="S12" s="139" t="e">
        <f ca="1">_xll.BDP($R12,S$5)</f>
        <v>#NAME?</v>
      </c>
      <c r="T12" s="139" t="e">
        <f ca="1">_xll.BDP($R12,T$5)</f>
        <v>#NAME?</v>
      </c>
      <c r="U12" s="139" t="e">
        <f ca="1">_xll.BDP($R12,U$5)</f>
        <v>#NAME?</v>
      </c>
    </row>
    <row r="13" spans="1:21" ht="15.5" x14ac:dyDescent="0.35">
      <c r="A13" s="144"/>
      <c r="B13" s="153" t="s">
        <v>56</v>
      </c>
      <c r="C13" s="118">
        <v>0</v>
      </c>
      <c r="D13" s="29">
        <v>1.4214</v>
      </c>
      <c r="F13" s="20" t="s">
        <v>28</v>
      </c>
      <c r="G13" s="81">
        <v>16.246099999999998</v>
      </c>
      <c r="I13" s="152"/>
      <c r="J13" s="145"/>
      <c r="R13" s="139" t="s">
        <v>128</v>
      </c>
      <c r="S13" s="139" t="e">
        <f ca="1">_xll.BDP($R13,S$5)</f>
        <v>#NAME?</v>
      </c>
      <c r="T13" s="139" t="e">
        <f ca="1">_xll.BDP($R13,T$5)</f>
        <v>#NAME?</v>
      </c>
      <c r="U13" s="139" t="e">
        <f ca="1">_xll.BDP($R13,U$5)</f>
        <v>#NAME?</v>
      </c>
    </row>
    <row r="14" spans="1:21" ht="15.5" x14ac:dyDescent="0.35">
      <c r="A14" s="144"/>
      <c r="B14" s="153" t="s">
        <v>57</v>
      </c>
      <c r="C14" s="6">
        <v>6.4062999999999999</v>
      </c>
      <c r="D14" s="29">
        <v>0.69310000000000005</v>
      </c>
      <c r="F14" s="20" t="s">
        <v>32</v>
      </c>
      <c r="G14" s="81">
        <v>6.5427999999999997</v>
      </c>
      <c r="I14" s="152"/>
      <c r="J14" s="145"/>
      <c r="R14" s="139" t="s">
        <v>127</v>
      </c>
      <c r="S14" s="139" t="e">
        <f ca="1">_xll.BDP($R14,S$5)</f>
        <v>#NAME?</v>
      </c>
      <c r="T14" s="139" t="e">
        <f ca="1">_xll.BDP($R14,T$5)</f>
        <v>#NAME?</v>
      </c>
      <c r="U14" s="139" t="e">
        <f ca="1">_xll.BDP($R14,U$5)</f>
        <v>#NAME?</v>
      </c>
    </row>
    <row r="15" spans="1:21" ht="15.5" x14ac:dyDescent="0.35">
      <c r="A15" s="144"/>
      <c r="B15" s="153" t="s">
        <v>58</v>
      </c>
      <c r="C15" s="6">
        <v>1.3769</v>
      </c>
      <c r="D15" s="29">
        <v>6.7937000000000003</v>
      </c>
      <c r="F15" s="20" t="s">
        <v>34</v>
      </c>
      <c r="G15" s="81">
        <v>1.4212</v>
      </c>
      <c r="I15" s="152"/>
      <c r="J15" s="145"/>
      <c r="R15" s="139" t="s">
        <v>126</v>
      </c>
      <c r="S15" s="139" t="e">
        <f ca="1">_xll.BDP($R15,S$5)</f>
        <v>#NAME?</v>
      </c>
      <c r="T15" s="139" t="e">
        <f ca="1">_xll.BDP($R15,T$5)</f>
        <v>#NAME?</v>
      </c>
      <c r="U15" s="139" t="e">
        <f ca="1">_xll.BDP($R15,U$5)</f>
        <v>#NAME?</v>
      </c>
    </row>
    <row r="16" spans="1:21" ht="15.5" x14ac:dyDescent="0.35">
      <c r="A16" s="144"/>
      <c r="B16" s="153" t="s">
        <v>59</v>
      </c>
      <c r="C16" s="6">
        <v>0.65159999999999996</v>
      </c>
      <c r="D16" s="29">
        <v>6.7900999999999998</v>
      </c>
      <c r="F16" s="20" t="s">
        <v>37</v>
      </c>
      <c r="G16" s="81">
        <v>0.69299999999999995</v>
      </c>
      <c r="I16" s="152"/>
      <c r="J16" s="145"/>
      <c r="R16" s="139" t="s">
        <v>125</v>
      </c>
      <c r="S16" s="139" t="e">
        <f ca="1">_xll.BDP($R16,S$5)</f>
        <v>#NAME?</v>
      </c>
      <c r="T16" s="139" t="e">
        <f ca="1">_xll.BDP($R16,T$5)</f>
        <v>#NAME?</v>
      </c>
      <c r="U16" s="139" t="e">
        <f ca="1">_xll.BDP($R16,U$5)</f>
        <v>#NAME?</v>
      </c>
    </row>
    <row r="17" spans="1:28" ht="15.5" x14ac:dyDescent="0.35">
      <c r="A17" s="144"/>
      <c r="B17" s="153" t="s">
        <v>60</v>
      </c>
      <c r="C17" s="6">
        <v>7.1860999999999997</v>
      </c>
      <c r="D17" s="29">
        <v>11.3904</v>
      </c>
      <c r="F17" s="20" t="s">
        <v>90</v>
      </c>
      <c r="G17" s="81">
        <v>6.7923999999999998</v>
      </c>
      <c r="I17" s="152"/>
      <c r="J17" s="145"/>
      <c r="R17" s="139" t="s">
        <v>124</v>
      </c>
      <c r="S17" s="139" t="e">
        <f ca="1">_xll.BDP($R17,S$5)</f>
        <v>#NAME?</v>
      </c>
      <c r="T17" s="139" t="e">
        <f ca="1">_xll.BDP($R17,T$5)</f>
        <v>#NAME?</v>
      </c>
      <c r="U17" s="139" t="e">
        <f ca="1">_xll.BDP($R17,U$5)</f>
        <v>#NAME?</v>
      </c>
    </row>
    <row r="18" spans="1:28" ht="15.5" x14ac:dyDescent="0.35">
      <c r="A18" s="144"/>
      <c r="B18" s="153" t="s">
        <v>61</v>
      </c>
      <c r="C18" s="6">
        <v>0</v>
      </c>
      <c r="D18" s="29">
        <v>46.823999999999998</v>
      </c>
      <c r="F18" s="43"/>
      <c r="G18" s="81"/>
      <c r="I18" s="152"/>
      <c r="J18" s="145"/>
      <c r="R18" s="139" t="s">
        <v>123</v>
      </c>
      <c r="S18" s="139" t="e">
        <f ca="1">_xll.BDP($R18,S$5)</f>
        <v>#NAME?</v>
      </c>
      <c r="T18" s="139" t="e">
        <f ca="1">_xll.BDP($R18,T$5)</f>
        <v>#NAME?</v>
      </c>
      <c r="U18" s="139" t="e">
        <f ca="1">_xll.BDP($R18,U$5)</f>
        <v>#NAME?</v>
      </c>
    </row>
    <row r="19" spans="1:28" ht="15.5" x14ac:dyDescent="0.35">
      <c r="A19" s="144"/>
      <c r="B19" s="153" t="s">
        <v>62</v>
      </c>
      <c r="C19" s="6">
        <v>1535.5</v>
      </c>
      <c r="D19" s="29">
        <v>3.7570999999999999</v>
      </c>
      <c r="F19" s="20" t="s">
        <v>146</v>
      </c>
      <c r="G19" s="142">
        <v>1371.57</v>
      </c>
      <c r="H19" s="28"/>
      <c r="I19" s="152"/>
      <c r="J19" s="145"/>
      <c r="R19" s="139" t="s">
        <v>122</v>
      </c>
      <c r="S19" s="139" t="e">
        <f ca="1">_xll.BDP($R19,S$5)</f>
        <v>#NAME?</v>
      </c>
      <c r="T19" s="139" t="e">
        <f ca="1">_xll.BDP($R19,T$5)</f>
        <v>#NAME?</v>
      </c>
      <c r="U19" s="139" t="e">
        <f ca="1">_xll.BDP($R19,U$5)</f>
        <v>#NAME?</v>
      </c>
    </row>
    <row r="20" spans="1:28" ht="15.5" x14ac:dyDescent="0.35">
      <c r="A20" s="144"/>
      <c r="B20" s="153" t="s">
        <v>63</v>
      </c>
      <c r="C20" s="6">
        <v>0</v>
      </c>
      <c r="D20" s="29">
        <v>9.6578999999999997</v>
      </c>
      <c r="F20" s="3"/>
      <c r="G20" s="81"/>
      <c r="I20" s="152"/>
      <c r="J20" s="145"/>
      <c r="R20" s="139" t="s">
        <v>121</v>
      </c>
      <c r="S20" s="139" t="e">
        <f ca="1">_xll.BDP($R20,S$5)</f>
        <v>#NAME?</v>
      </c>
      <c r="T20" s="139" t="e">
        <f ca="1">_xll.BDP($R20,T$5)</f>
        <v>#NAME?</v>
      </c>
      <c r="U20" s="139" t="e">
        <f ca="1">_xll.BDP($R20,U$5)</f>
        <v>#NAME?</v>
      </c>
    </row>
    <row r="21" spans="1:28" ht="15.5" x14ac:dyDescent="0.35">
      <c r="A21" s="144"/>
      <c r="B21" s="153" t="s">
        <v>64</v>
      </c>
      <c r="C21" s="2">
        <v>0</v>
      </c>
      <c r="D21" s="29">
        <v>129.35</v>
      </c>
      <c r="F21" s="20"/>
      <c r="G21" s="20"/>
      <c r="I21" s="152"/>
      <c r="J21" s="145"/>
      <c r="R21" s="139" t="s">
        <v>120</v>
      </c>
      <c r="S21" s="139" t="e">
        <f ca="1">_xll.BDP($R21,S$5)</f>
        <v>#NAME?</v>
      </c>
      <c r="T21" s="139" t="e">
        <f ca="1">_xll.BDP($R21,T$5)</f>
        <v>#NAME?</v>
      </c>
      <c r="U21" s="139" t="e">
        <f ca="1">_xll.BDP($R21,U$5)</f>
        <v>#NAME?</v>
      </c>
    </row>
    <row r="22" spans="1:28" ht="15.5" x14ac:dyDescent="0.35">
      <c r="A22" s="144"/>
      <c r="B22" s="153" t="s">
        <v>65</v>
      </c>
      <c r="C22" s="2">
        <v>0</v>
      </c>
      <c r="D22" s="29">
        <v>590.19500000000005</v>
      </c>
      <c r="F22" s="21"/>
      <c r="G22" s="20"/>
      <c r="I22" s="152"/>
      <c r="J22" s="145"/>
      <c r="R22" s="139" t="s">
        <v>119</v>
      </c>
      <c r="S22" s="139" t="e">
        <f ca="1">_xll.BDP($R22,S$5)</f>
        <v>#NAME?</v>
      </c>
      <c r="T22" s="139" t="e">
        <f ca="1">_xll.BDP($R22,T$5)</f>
        <v>#NAME?</v>
      </c>
      <c r="U22" s="139" t="e">
        <f ca="1">_xll.BDP($R22,U$5)</f>
        <v>#NAME?</v>
      </c>
    </row>
    <row r="23" spans="1:28" ht="15.5" x14ac:dyDescent="0.35">
      <c r="A23" s="144"/>
      <c r="B23" s="153" t="s">
        <v>66</v>
      </c>
      <c r="C23" s="2">
        <v>0</v>
      </c>
      <c r="D23" s="29">
        <v>95.533000000000001</v>
      </c>
      <c r="F23" s="20"/>
      <c r="G23" s="20"/>
      <c r="I23" s="152"/>
      <c r="J23" s="145"/>
      <c r="R23" s="139" t="s">
        <v>118</v>
      </c>
      <c r="S23" s="139" t="e">
        <f ca="1">_xll.BDP($R23,S$5)</f>
        <v>#NAME?</v>
      </c>
      <c r="T23" s="139" t="e">
        <f ca="1">_xll.BDP($R23,T$5)</f>
        <v>#NAME?</v>
      </c>
      <c r="U23" s="139" t="e">
        <f ca="1">_xll.BDP($R23,U$5)</f>
        <v>#NAME?</v>
      </c>
      <c r="AB23" s="130"/>
    </row>
    <row r="24" spans="1:28" ht="15.5" x14ac:dyDescent="0.35">
      <c r="A24" s="144"/>
      <c r="B24" s="154" t="s">
        <v>67</v>
      </c>
      <c r="C24" s="2">
        <v>0</v>
      </c>
      <c r="D24" s="29">
        <v>104.261</v>
      </c>
      <c r="G24" s="20"/>
      <c r="I24" s="152"/>
      <c r="J24" s="145"/>
      <c r="R24" s="139" t="s">
        <v>117</v>
      </c>
      <c r="S24" s="139" t="e">
        <f ca="1">_xll.BDP($R24,S$5)</f>
        <v>#NAME?</v>
      </c>
      <c r="T24" s="139" t="e">
        <f ca="1">_xll.BDP($R24,T$5)</f>
        <v>#NAME?</v>
      </c>
      <c r="U24" s="139" t="e">
        <f ca="1">_xll.BDP($R24,U$5)</f>
        <v>#NAME?</v>
      </c>
    </row>
    <row r="25" spans="1:28" ht="15.5" x14ac:dyDescent="0.35">
      <c r="A25" s="144"/>
      <c r="B25" s="153" t="s">
        <v>68</v>
      </c>
      <c r="C25" s="6">
        <v>0</v>
      </c>
      <c r="D25" s="29">
        <v>3.6735000000000002</v>
      </c>
      <c r="G25" s="20"/>
      <c r="I25" s="152"/>
      <c r="J25" s="145"/>
      <c r="R25" s="139" t="s">
        <v>116</v>
      </c>
      <c r="S25" s="139" t="e">
        <f ca="1">_xll.BDP($R25,S$5)</f>
        <v>#NAME?</v>
      </c>
      <c r="T25" s="139" t="e">
        <f ca="1">_xll.BDP($R25,T$5)</f>
        <v>#NAME?</v>
      </c>
      <c r="U25" s="139" t="e">
        <f ca="1">_xll.BDP($R25,U$5)</f>
        <v>#NAME?</v>
      </c>
    </row>
    <row r="26" spans="1:28" ht="15.5" x14ac:dyDescent="0.35">
      <c r="A26" s="144"/>
      <c r="B26" s="153" t="s">
        <v>69</v>
      </c>
      <c r="C26" s="6">
        <v>0</v>
      </c>
      <c r="D26" s="29">
        <v>1.2938000000000001</v>
      </c>
      <c r="I26" s="152"/>
      <c r="J26" s="145"/>
      <c r="R26" s="139" t="s">
        <v>115</v>
      </c>
      <c r="S26" s="139" t="e">
        <f ca="1">_xll.BDP($R26,S$5)</f>
        <v>#NAME?</v>
      </c>
      <c r="T26" s="139" t="e">
        <f ca="1">_xll.BDP($R26,T$5)</f>
        <v>#NAME?</v>
      </c>
      <c r="U26" s="139" t="e">
        <f ca="1">_xll.BDP($R26,U$5)</f>
        <v>#NAME?</v>
      </c>
    </row>
    <row r="27" spans="1:28" ht="15.5" x14ac:dyDescent="0.35">
      <c r="A27" s="144"/>
      <c r="B27" s="153" t="s">
        <v>70</v>
      </c>
      <c r="C27" s="2">
        <v>0</v>
      </c>
      <c r="D27" s="29">
        <v>3692.06</v>
      </c>
      <c r="I27" s="152"/>
      <c r="J27" s="145"/>
      <c r="R27" s="139" t="s">
        <v>114</v>
      </c>
      <c r="S27" s="139" t="e">
        <f ca="1">_xll.BDP($R27,S$5)</f>
        <v>#NAME?</v>
      </c>
      <c r="T27" s="139" t="e">
        <f ca="1">_xll.BDP($R27,T$5)</f>
        <v>#NAME?</v>
      </c>
      <c r="U27" s="139" t="e">
        <f ca="1">_xll.BDP($R27,U$5)</f>
        <v>#NAME?</v>
      </c>
    </row>
    <row r="28" spans="1:28" ht="15.5" x14ac:dyDescent="0.35">
      <c r="A28" s="144"/>
      <c r="B28" s="153" t="s">
        <v>71</v>
      </c>
      <c r="C28" s="2">
        <v>0</v>
      </c>
      <c r="D28" s="29">
        <v>335</v>
      </c>
      <c r="I28" s="152"/>
      <c r="J28" s="145"/>
      <c r="R28" s="139" t="s">
        <v>113</v>
      </c>
      <c r="S28" s="139" t="e">
        <f ca="1">_xll.BDP($R28,S$5)</f>
        <v>#NAME?</v>
      </c>
      <c r="T28" s="139" t="e">
        <f ca="1">_xll.BDP($R28,T$5)</f>
        <v>#NAME?</v>
      </c>
      <c r="U28" s="139" t="e">
        <f ca="1">_xll.BDP($R28,U$5)</f>
        <v>#NAME?</v>
      </c>
    </row>
    <row r="29" spans="1:28" ht="15.5" x14ac:dyDescent="0.35">
      <c r="A29" s="144"/>
      <c r="B29" s="153" t="s">
        <v>72</v>
      </c>
      <c r="C29" s="6">
        <v>0</v>
      </c>
      <c r="D29" s="29">
        <v>3.0022000000000002</v>
      </c>
      <c r="I29" s="152"/>
      <c r="J29" s="145"/>
      <c r="R29" s="139" t="s">
        <v>112</v>
      </c>
      <c r="S29" s="139" t="e">
        <f ca="1">_xll.BDP($R29,S$5)</f>
        <v>#NAME?</v>
      </c>
      <c r="T29" s="139" t="e">
        <f ca="1">_xll.BDP($R29,T$5)</f>
        <v>#NAME?</v>
      </c>
      <c r="U29" s="139" t="e">
        <f ca="1">_xll.BDP($R29,U$5)</f>
        <v>#NAME?</v>
      </c>
    </row>
    <row r="30" spans="1:28" ht="15.5" x14ac:dyDescent="0.35">
      <c r="A30" s="144"/>
      <c r="B30" s="153" t="s">
        <v>73</v>
      </c>
      <c r="C30" s="2">
        <v>0</v>
      </c>
      <c r="D30" s="29">
        <v>2625.63</v>
      </c>
      <c r="I30" s="152"/>
      <c r="J30" s="145"/>
      <c r="R30" s="139" t="s">
        <v>111</v>
      </c>
      <c r="S30" s="139" t="e">
        <f ca="1">_xll.BDP($R30,S$5)</f>
        <v>#NAME?</v>
      </c>
      <c r="T30" s="139" t="e">
        <f ca="1">_xll.BDP($R30,T$5)</f>
        <v>#NAME?</v>
      </c>
      <c r="U30" s="139" t="e">
        <f ca="1">_xll.BDP($R30,U$5)</f>
        <v>#NAME?</v>
      </c>
    </row>
    <row r="31" spans="1:28" ht="15.5" x14ac:dyDescent="0.35">
      <c r="A31" s="144"/>
      <c r="B31" s="153" t="s">
        <v>74</v>
      </c>
      <c r="C31" s="6">
        <v>0</v>
      </c>
      <c r="D31" s="29">
        <v>14.244999999999999</v>
      </c>
      <c r="I31" s="152"/>
      <c r="J31" s="145"/>
      <c r="R31" s="139" t="s">
        <v>110</v>
      </c>
      <c r="S31" s="139" t="e">
        <f ca="1">_xll.BDP($R31,S$5)</f>
        <v>#NAME?</v>
      </c>
      <c r="T31" s="139" t="e">
        <f ca="1">_xll.BDP($R31,T$5)</f>
        <v>#NAME?</v>
      </c>
      <c r="U31" s="139" t="e">
        <f ca="1">_xll.BDP($R31,U$5)</f>
        <v>#NAME?</v>
      </c>
    </row>
    <row r="32" spans="1:28" ht="15.5" x14ac:dyDescent="0.35">
      <c r="A32" s="144"/>
      <c r="B32" s="153" t="s">
        <v>75</v>
      </c>
      <c r="C32" s="6">
        <v>0</v>
      </c>
      <c r="D32" s="29">
        <v>6.9137000000000004</v>
      </c>
      <c r="I32" s="152"/>
      <c r="J32" s="145"/>
      <c r="R32" s="139" t="s">
        <v>109</v>
      </c>
      <c r="S32" s="139" t="e">
        <f ca="1">_xll.BDP($R32,S$5)</f>
        <v>#NAME?</v>
      </c>
      <c r="T32" s="139" t="e">
        <f ca="1">_xll.BDP($R32,T$5)</f>
        <v>#NAME?</v>
      </c>
      <c r="U32" s="139" t="e">
        <f ca="1">_xll.BDP($R32,U$5)</f>
        <v>#NAME?</v>
      </c>
    </row>
    <row r="33" spans="1:22" ht="15.5" x14ac:dyDescent="0.35">
      <c r="A33" s="144"/>
      <c r="B33" s="153" t="s">
        <v>76</v>
      </c>
      <c r="C33" s="6">
        <v>0</v>
      </c>
      <c r="D33" s="29">
        <v>48.07</v>
      </c>
      <c r="I33" s="152"/>
      <c r="J33" s="145"/>
      <c r="R33" s="139" t="s">
        <v>108</v>
      </c>
      <c r="S33" s="139" t="e">
        <f ca="1">_xll.BDP($R33,S$5)</f>
        <v>#NAME?</v>
      </c>
      <c r="T33" s="139" t="e">
        <f ca="1">_xll.BDP($R33,T$5)</f>
        <v>#NAME?</v>
      </c>
      <c r="U33" s="139" t="e">
        <f ca="1">_xll.BDP($R33,U$5)</f>
        <v>#NAME?</v>
      </c>
    </row>
    <row r="34" spans="1:22" ht="15.5" x14ac:dyDescent="0.35">
      <c r="A34" s="144"/>
      <c r="B34" s="153" t="s">
        <v>77</v>
      </c>
      <c r="C34" s="2">
        <v>0</v>
      </c>
      <c r="D34" s="29">
        <v>590.23400000000004</v>
      </c>
      <c r="I34" s="152"/>
      <c r="J34" s="145"/>
      <c r="R34" s="139" t="s">
        <v>107</v>
      </c>
      <c r="S34" s="139" t="e">
        <f ca="1">_xll.BDP($R34,S$5)</f>
        <v>#NAME?</v>
      </c>
      <c r="T34" s="139" t="e">
        <f ca="1">_xll.BDP($R34,T$5)</f>
        <v>#NAME?</v>
      </c>
      <c r="U34" s="139" t="e">
        <f ca="1">_xll.BDP($R34,U$5)</f>
        <v>#NAME?</v>
      </c>
    </row>
    <row r="35" spans="1:22" ht="15.5" x14ac:dyDescent="0.35">
      <c r="A35" s="144"/>
      <c r="B35" s="153" t="s">
        <v>78</v>
      </c>
      <c r="C35" s="118">
        <v>0</v>
      </c>
      <c r="D35" s="29">
        <v>4.5820999999999996</v>
      </c>
      <c r="I35" s="152"/>
      <c r="J35" s="145"/>
      <c r="R35" s="139" t="s">
        <v>106</v>
      </c>
      <c r="S35" s="139" t="e">
        <f ca="1">_xll.BDP($R35,S$5)</f>
        <v>#NAME?</v>
      </c>
      <c r="T35" s="139" t="e">
        <f ca="1">_xll.BDP($R35,T$5)</f>
        <v>#NAME?</v>
      </c>
      <c r="U35" s="139" t="e">
        <f ca="1">_xll.BDP($R35,U$5)</f>
        <v>#NAME?</v>
      </c>
    </row>
    <row r="36" spans="1:22" ht="15.5" x14ac:dyDescent="0.35">
      <c r="A36" s="144"/>
      <c r="B36" s="153" t="s">
        <v>79</v>
      </c>
      <c r="C36" s="11">
        <v>0</v>
      </c>
      <c r="D36" s="29">
        <v>24435.390599999999</v>
      </c>
      <c r="I36" s="152"/>
      <c r="J36" s="145"/>
      <c r="R36" s="139" t="s">
        <v>105</v>
      </c>
      <c r="S36" s="139" t="e">
        <f ca="1">_xll.BDP($R36,S$5)</f>
        <v>#NAME?</v>
      </c>
      <c r="T36" s="139" t="e">
        <f ca="1">_xll.BDP($R36,T$5)</f>
        <v>#NAME?</v>
      </c>
      <c r="U36" s="139" t="e">
        <f ca="1">_xll.BDP($R36,U$5)</f>
        <v>#NAME?</v>
      </c>
      <c r="V36" s="36"/>
    </row>
    <row r="37" spans="1:22" ht="15.5" x14ac:dyDescent="0.35">
      <c r="A37" s="144"/>
      <c r="B37" s="153" t="s">
        <v>80</v>
      </c>
      <c r="C37" s="2">
        <v>0</v>
      </c>
      <c r="D37" s="29">
        <v>45.906999999999996</v>
      </c>
      <c r="I37" s="152"/>
      <c r="J37" s="145"/>
      <c r="R37" s="139" t="s">
        <v>104</v>
      </c>
      <c r="S37" s="139" t="e">
        <f ca="1">_xll.BDP($R37,S$5)</f>
        <v>#NAME?</v>
      </c>
      <c r="T37" s="139" t="e">
        <f ca="1">_xll.BDP($R37,T$5)</f>
        <v>#NAME?</v>
      </c>
      <c r="U37" s="139" t="e">
        <f ca="1">_xll.BDP($R37,U$5)</f>
        <v>#NAME?</v>
      </c>
    </row>
    <row r="38" spans="1:22" ht="15.5" x14ac:dyDescent="0.35">
      <c r="A38" s="144"/>
      <c r="B38" s="153" t="s">
        <v>81</v>
      </c>
      <c r="C38" s="6">
        <v>0</v>
      </c>
      <c r="D38" s="29">
        <v>2.72</v>
      </c>
      <c r="I38" s="152"/>
      <c r="J38" s="145"/>
      <c r="R38" s="139" t="s">
        <v>103</v>
      </c>
      <c r="S38" s="139" t="e">
        <f ca="1">_xll.BDP($R38,S$5)</f>
        <v>#NAME?</v>
      </c>
      <c r="T38" s="139" t="e">
        <f ca="1">_xll.BDP($R38,T$5)</f>
        <v>#NAME?</v>
      </c>
      <c r="U38" s="139" t="e">
        <f ca="1">_xll.BDP($R38,U$5)</f>
        <v>#NAME?</v>
      </c>
    </row>
    <row r="39" spans="1:22" ht="15.5" x14ac:dyDescent="0.35">
      <c r="A39" s="144"/>
      <c r="B39" s="153" t="s">
        <v>82</v>
      </c>
      <c r="C39" s="2">
        <v>0</v>
      </c>
      <c r="D39" s="29">
        <v>3268.4520000000002</v>
      </c>
      <c r="I39" s="152"/>
      <c r="J39" s="145"/>
      <c r="R39" s="139" t="s">
        <v>102</v>
      </c>
      <c r="S39" s="139" t="e">
        <f ca="1">_xll.BDP($R39,S$5)</f>
        <v>#NAME?</v>
      </c>
      <c r="T39" s="139" t="e">
        <f ca="1">_xll.BDP($R39,T$5)</f>
        <v>#NAME?</v>
      </c>
      <c r="U39" s="139" t="e">
        <f ca="1">_xll.BDP($R39,U$5)</f>
        <v>#NAME?</v>
      </c>
    </row>
    <row r="40" spans="1:22" ht="15.5" x14ac:dyDescent="0.35">
      <c r="A40" s="144"/>
      <c r="B40" s="153" t="s">
        <v>83</v>
      </c>
      <c r="C40" s="2">
        <v>0</v>
      </c>
      <c r="D40" s="29">
        <v>61.531999999999996</v>
      </c>
      <c r="I40" s="152"/>
      <c r="J40" s="145"/>
      <c r="R40" s="139" t="s">
        <v>101</v>
      </c>
      <c r="S40" s="139" t="e">
        <f ca="1">_xll.BDP($R40,S$5)</f>
        <v>#NAME?</v>
      </c>
      <c r="T40" s="139" t="e">
        <f ca="1">_xll.BDP($R40,T$5)</f>
        <v>#NAME?</v>
      </c>
      <c r="U40" s="139" t="e">
        <f ca="1">_xll.BDP($R40,U$5)</f>
        <v>#NAME?</v>
      </c>
    </row>
    <row r="41" spans="1:22" ht="15.5" x14ac:dyDescent="0.35">
      <c r="A41" s="144"/>
      <c r="B41" s="153" t="s">
        <v>84</v>
      </c>
      <c r="C41" s="2">
        <v>0</v>
      </c>
      <c r="D41" s="29">
        <v>26303.1</v>
      </c>
      <c r="I41" s="152"/>
      <c r="J41" s="145"/>
      <c r="R41" s="139" t="s">
        <v>100</v>
      </c>
      <c r="S41" s="139" t="e">
        <f ca="1">_xll.BDP($R41,S$5)</f>
        <v>#NAME?</v>
      </c>
      <c r="T41" s="139" t="e">
        <f ca="1">_xll.BDP($R41,T$5)</f>
        <v>#NAME?</v>
      </c>
      <c r="U41" s="139" t="e">
        <f ca="1">_xll.BDP($R41,U$5)</f>
        <v>#NAME?</v>
      </c>
    </row>
    <row r="42" spans="1:22" ht="15.5" x14ac:dyDescent="0.35">
      <c r="A42" s="144"/>
      <c r="B42" s="153" t="s">
        <v>85</v>
      </c>
      <c r="C42" s="6">
        <v>0</v>
      </c>
      <c r="D42" s="29">
        <v>7.843</v>
      </c>
      <c r="I42" s="152"/>
      <c r="J42" s="145"/>
      <c r="R42" s="139" t="s">
        <v>99</v>
      </c>
      <c r="S42" s="139" t="e">
        <f ca="1">_xll.BDP($R42,S$5)</f>
        <v>#NAME?</v>
      </c>
      <c r="T42" s="139" t="e">
        <f ca="1">_xll.BDP($R42,T$5)</f>
        <v>#NAME?</v>
      </c>
      <c r="U42" s="139" t="e">
        <f ca="1">_xll.BDP($R42,U$5)</f>
        <v>#NAME?</v>
      </c>
    </row>
    <row r="43" spans="1:22" ht="15.5" x14ac:dyDescent="0.35">
      <c r="A43" s="144"/>
      <c r="B43" s="153" t="s">
        <v>86</v>
      </c>
      <c r="C43" s="6">
        <v>0</v>
      </c>
      <c r="D43" s="29">
        <v>3.7547000000000001</v>
      </c>
      <c r="I43" s="152"/>
      <c r="J43" s="145"/>
    </row>
    <row r="44" spans="1:22" ht="13" thickBot="1" x14ac:dyDescent="0.3">
      <c r="A44" s="144"/>
      <c r="B44" s="155"/>
      <c r="C44" s="156"/>
      <c r="D44" s="156"/>
      <c r="E44" s="156"/>
      <c r="F44" s="156"/>
      <c r="G44" s="156"/>
      <c r="H44" s="156"/>
      <c r="I44" s="157"/>
      <c r="J44" s="145"/>
    </row>
    <row r="45" spans="1:22" ht="14.5" x14ac:dyDescent="0.35">
      <c r="B45" s="147"/>
      <c r="C45" s="147"/>
      <c r="D45" s="147"/>
      <c r="E45" s="147"/>
      <c r="F45" s="147"/>
      <c r="G45" s="147"/>
      <c r="H45" s="147"/>
      <c r="I45" s="147"/>
      <c r="R45" s="138"/>
      <c r="S45" s="138"/>
      <c r="T45" s="138" t="e">
        <f ca="1">_xll.BFieldInfo(T$46)</f>
        <v>#NAME?</v>
      </c>
    </row>
    <row r="46" spans="1:22" ht="14.5" x14ac:dyDescent="0.35">
      <c r="R46" s="138"/>
      <c r="S46" s="138"/>
      <c r="T46" s="138" t="s">
        <v>140</v>
      </c>
    </row>
    <row r="47" spans="1:22" ht="14.5" x14ac:dyDescent="0.35">
      <c r="R47" s="138" t="s">
        <v>141</v>
      </c>
      <c r="S47" s="138" t="s">
        <v>142</v>
      </c>
      <c r="T47" s="138" t="e">
        <f ca="1">_xll.BDP($S47,T$46)</f>
        <v>#NAME?</v>
      </c>
    </row>
  </sheetData>
  <mergeCells count="1">
    <mergeCell ref="F3:I3"/>
  </mergeCells>
  <conditionalFormatting sqref="C7">
    <cfRule type="cellIs" dxfId="74" priority="85" operator="lessThan">
      <formula>0.85</formula>
    </cfRule>
    <cfRule type="cellIs" dxfId="73" priority="86" operator="greaterThan">
      <formula>0.965</formula>
    </cfRule>
  </conditionalFormatting>
  <conditionalFormatting sqref="C8">
    <cfRule type="cellIs" dxfId="72" priority="84" operator="greaterThan">
      <formula>161</formula>
    </cfRule>
    <cfRule type="cellIs" dxfId="71" priority="83" operator="lessThan">
      <formula>140</formula>
    </cfRule>
  </conditionalFormatting>
  <conditionalFormatting sqref="C9">
    <cfRule type="cellIs" dxfId="70" priority="82" operator="greaterThan">
      <formula>0.84</formula>
    </cfRule>
    <cfRule type="cellIs" dxfId="69" priority="81" operator="lessThan">
      <formula>0.7</formula>
    </cfRule>
  </conditionalFormatting>
  <conditionalFormatting sqref="C10">
    <cfRule type="cellIs" dxfId="68" priority="80" operator="greaterThan">
      <formula>0.9</formula>
    </cfRule>
    <cfRule type="cellIs" dxfId="67" priority="79" operator="lessThan">
      <formula>0.8</formula>
    </cfRule>
  </conditionalFormatting>
  <conditionalFormatting sqref="C11">
    <cfRule type="cellIs" dxfId="66" priority="78" operator="greaterThan">
      <formula>20</formula>
    </cfRule>
    <cfRule type="cellIs" dxfId="65" priority="77" operator="lessThan">
      <formula>16</formula>
    </cfRule>
  </conditionalFormatting>
  <conditionalFormatting sqref="C12">
    <cfRule type="cellIs" dxfId="64" priority="76" operator="greaterThan">
      <formula>8</formula>
    </cfRule>
    <cfRule type="cellIs" dxfId="63" priority="75" operator="lessThan">
      <formula>6.1</formula>
    </cfRule>
  </conditionalFormatting>
  <conditionalFormatting sqref="C13">
    <cfRule type="cellIs" dxfId="62" priority="74" operator="greaterThan">
      <formula>1.445</formula>
    </cfRule>
    <cfRule type="cellIs" dxfId="61" priority="73" operator="lessThan">
      <formula>1.36</formula>
    </cfRule>
  </conditionalFormatting>
  <conditionalFormatting sqref="C14">
    <cfRule type="cellIs" dxfId="60" priority="72" operator="greaterThan">
      <formula>1.585</formula>
    </cfRule>
    <cfRule type="cellIs" dxfId="59" priority="71" operator="lessThan">
      <formula>1.4</formula>
    </cfRule>
  </conditionalFormatting>
  <conditionalFormatting sqref="C15">
    <cfRule type="cellIs" dxfId="58" priority="70" operator="lessThan">
      <formula>6.8</formula>
    </cfRule>
  </conditionalFormatting>
  <conditionalFormatting sqref="C15:C16">
    <cfRule type="cellIs" dxfId="57" priority="69" operator="greaterThan">
      <formula>7.3</formula>
    </cfRule>
  </conditionalFormatting>
  <conditionalFormatting sqref="C16">
    <cfRule type="cellIs" dxfId="56" priority="68" operator="lessThan">
      <formula>6.7</formula>
    </cfRule>
  </conditionalFormatting>
  <conditionalFormatting sqref="C17">
    <cfRule type="cellIs" dxfId="55" priority="66" operator="lessThan">
      <formula>14</formula>
    </cfRule>
    <cfRule type="cellIs" dxfId="54" priority="67" operator="greaterThan">
      <formula>15.9</formula>
    </cfRule>
  </conditionalFormatting>
  <conditionalFormatting sqref="C18">
    <cfRule type="cellIs" dxfId="53" priority="65" operator="greaterThan">
      <formula>37</formula>
    </cfRule>
    <cfRule type="cellIs" dxfId="52" priority="64" operator="lessThan">
      <formula>26</formula>
    </cfRule>
  </conditionalFormatting>
  <conditionalFormatting sqref="C19">
    <cfRule type="cellIs" dxfId="51" priority="63" operator="greaterThan">
      <formula>4.5</formula>
    </cfRule>
    <cfRule type="cellIs" dxfId="50" priority="62" operator="lessThan">
      <formula>3.72</formula>
    </cfRule>
  </conditionalFormatting>
  <conditionalFormatting sqref="C20">
    <cfRule type="cellIs" dxfId="49" priority="61" operator="greaterThan">
      <formula>11.5</formula>
    </cfRule>
    <cfRule type="cellIs" dxfId="48" priority="60" operator="lessThan">
      <formula>9.7</formula>
    </cfRule>
  </conditionalFormatting>
  <conditionalFormatting sqref="C21">
    <cfRule type="cellIs" dxfId="47" priority="59" operator="greaterThan">
      <formula>162</formula>
    </cfRule>
    <cfRule type="cellIs" dxfId="46" priority="58" operator="lessThan">
      <formula>125</formula>
    </cfRule>
  </conditionalFormatting>
  <conditionalFormatting sqref="C22">
    <cfRule type="cellIs" dxfId="45" priority="57" operator="greaterThan">
      <formula>642</formula>
    </cfRule>
    <cfRule type="cellIs" dxfId="44" priority="56" operator="lessThan">
      <formula>585</formula>
    </cfRule>
  </conditionalFormatting>
  <conditionalFormatting sqref="C23">
    <cfRule type="cellIs" dxfId="43" priority="55" operator="greaterThan">
      <formula>86</formula>
    </cfRule>
    <cfRule type="cellIs" dxfId="42" priority="54" operator="lessThan">
      <formula>78</formula>
    </cfRule>
  </conditionalFormatting>
  <conditionalFormatting sqref="C24">
    <cfRule type="cellIs" dxfId="41" priority="53" operator="greaterThan">
      <formula>120</formula>
    </cfRule>
    <cfRule type="cellIs" dxfId="40" priority="52" operator="lessThan">
      <formula>104</formula>
    </cfRule>
  </conditionalFormatting>
  <conditionalFormatting sqref="C25">
    <cfRule type="cellIs" dxfId="39" priority="51" operator="greaterThan">
      <formula>4</formula>
    </cfRule>
    <cfRule type="cellIs" dxfId="38" priority="50" operator="lessThan">
      <formula>3.1</formula>
    </cfRule>
  </conditionalFormatting>
  <conditionalFormatting sqref="C26">
    <cfRule type="cellIs" dxfId="37" priority="49" operator="greaterThan">
      <formula>1.5</formula>
    </cfRule>
    <cfRule type="cellIs" dxfId="36" priority="48" operator="lessThan">
      <formula>1.1</formula>
    </cfRule>
  </conditionalFormatting>
  <conditionalFormatting sqref="C27">
    <cfRule type="cellIs" dxfId="35" priority="46" operator="lessThan">
      <formula>3400</formula>
    </cfRule>
    <cfRule type="cellIs" dxfId="34" priority="47" operator="greaterThan">
      <formula>39003</formula>
    </cfRule>
  </conditionalFormatting>
  <conditionalFormatting sqref="C28">
    <cfRule type="cellIs" dxfId="33" priority="45" operator="greaterThan">
      <formula>324</formula>
    </cfRule>
    <cfRule type="cellIs" dxfId="32" priority="44" operator="lessThan">
      <formula>280</formula>
    </cfRule>
  </conditionalFormatting>
  <conditionalFormatting sqref="C29">
    <cfRule type="cellIs" dxfId="31" priority="43" operator="greaterThan">
      <formula>4</formula>
    </cfRule>
    <cfRule type="cellIs" dxfId="30" priority="42" operator="lessThan">
      <formula>3.45</formula>
    </cfRule>
  </conditionalFormatting>
  <conditionalFormatting sqref="C30">
    <cfRule type="cellIs" dxfId="29" priority="41" operator="greaterThan">
      <formula>3450</formula>
    </cfRule>
    <cfRule type="cellIs" dxfId="28" priority="40" operator="lessThan">
      <formula>2250</formula>
    </cfRule>
  </conditionalFormatting>
  <conditionalFormatting sqref="C31">
    <cfRule type="cellIs" dxfId="27" priority="39" operator="greaterThan">
      <formula>14.1</formula>
    </cfRule>
    <cfRule type="cellIs" dxfId="26" priority="38" operator="lessThan">
      <formula>12.5</formula>
    </cfRule>
  </conditionalFormatting>
  <conditionalFormatting sqref="C32">
    <cfRule type="cellIs" dxfId="25" priority="37" operator="greaterThan">
      <formula>7</formula>
    </cfRule>
    <cfRule type="cellIs" dxfId="24" priority="36" operator="lessThan">
      <formula>6</formula>
    </cfRule>
  </conditionalFormatting>
  <conditionalFormatting sqref="C33">
    <cfRule type="cellIs" dxfId="23" priority="35" operator="greaterThan">
      <formula>483</formula>
    </cfRule>
    <cfRule type="cellIs" dxfId="22" priority="34" operator="lessThan">
      <formula>41</formula>
    </cfRule>
  </conditionalFormatting>
  <conditionalFormatting sqref="C34">
    <cfRule type="cellIs" dxfId="21" priority="33" operator="greaterThan">
      <formula>632</formula>
    </cfRule>
    <cfRule type="cellIs" dxfId="20" priority="32" operator="lessThan">
      <formula>595</formula>
    </cfRule>
  </conditionalFormatting>
  <conditionalFormatting sqref="C35">
    <cfRule type="cellIs" dxfId="19" priority="15" operator="greaterThan">
      <formula>4.9</formula>
    </cfRule>
    <cfRule type="cellIs" dxfId="18" priority="14" operator="lessThan">
      <formula>4</formula>
    </cfRule>
  </conditionalFormatting>
  <conditionalFormatting sqref="C36">
    <cfRule type="cellIs" dxfId="17" priority="31" operator="greaterThan">
      <formula>23000</formula>
    </cfRule>
    <cfRule type="cellIs" dxfId="16" priority="30" operator="lessThan">
      <formula>18500</formula>
    </cfRule>
  </conditionalFormatting>
  <conditionalFormatting sqref="C37">
    <cfRule type="cellIs" dxfId="15" priority="29" operator="greaterThan">
      <formula>41</formula>
    </cfRule>
    <cfRule type="cellIs" dxfId="14" priority="28" operator="lessThan">
      <formula>39</formula>
    </cfRule>
  </conditionalFormatting>
  <conditionalFormatting sqref="C38">
    <cfRule type="cellIs" dxfId="13" priority="26" operator="lessThan">
      <formula>2.2</formula>
    </cfRule>
    <cfRule type="cellIs" dxfId="12" priority="27" operator="greaterThan">
      <formula>2.95</formula>
    </cfRule>
  </conditionalFormatting>
  <conditionalFormatting sqref="C39">
    <cfRule type="cellIs" dxfId="11" priority="24" operator="lessThan">
      <formula>3100</formula>
    </cfRule>
    <cfRule type="cellIs" dxfId="10" priority="25" operator="greaterThan">
      <formula>3300</formula>
    </cfRule>
  </conditionalFormatting>
  <conditionalFormatting sqref="C40">
    <cfRule type="cellIs" dxfId="9" priority="23" operator="greaterThan">
      <formula>58</formula>
    </cfRule>
    <cfRule type="cellIs" dxfId="8" priority="22" operator="lessThan">
      <formula>49</formula>
    </cfRule>
  </conditionalFormatting>
  <conditionalFormatting sqref="C41">
    <cfRule type="cellIs" dxfId="7" priority="20" operator="lessThan">
      <formula>23000</formula>
    </cfRule>
    <cfRule type="cellIs" dxfId="6" priority="21" operator="greaterThan">
      <formula>25600</formula>
    </cfRule>
  </conditionalFormatting>
  <conditionalFormatting sqref="C42">
    <cfRule type="cellIs" dxfId="5" priority="19" operator="greaterThan">
      <formula>8.2</formula>
    </cfRule>
    <cfRule type="cellIs" dxfId="4" priority="18" operator="lessThan">
      <formula>7</formula>
    </cfRule>
  </conditionalFormatting>
  <conditionalFormatting sqref="C43">
    <cfRule type="cellIs" dxfId="3" priority="17" operator="greaterThan">
      <formula>4</formula>
    </cfRule>
    <cfRule type="cellIs" dxfId="2" priority="16" operator="lessThan">
      <formula>3</formula>
    </cfRule>
  </conditionalFormatting>
  <conditionalFormatting sqref="D6">
    <cfRule type="cellIs" dxfId="1" priority="3" operator="notBetween">
      <formula>$G$19*0.98</formula>
      <formula>$G$19*1.02</formula>
    </cfRule>
  </conditionalFormatting>
  <conditionalFormatting sqref="G7:H7">
    <cfRule type="cellIs" dxfId="0" priority="1" operator="notBetween">
      <formula>$G$19*0.98</formula>
      <formula>$G$19*1.02</formula>
    </cfRule>
  </conditionalFormatting>
  <pageMargins left="0.25" right="0.25" top="0.75" bottom="0.75" header="0.3" footer="0.3"/>
  <pageSetup scale="87" orientation="landscape" r:id="rId1"/>
  <headerFooter>
    <oddFooter>&amp;L&amp;1#&amp;"Calibri"&amp;10&amp;K000000Classified as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5757e98-2b43-486c-8ee7-8b03e7fccc8c"/>
    <_ip_UnifiedCompliancePolicyProperties xmlns="http://schemas.microsoft.com/sharepoint/v3" xsi:nil="true"/>
    <SeoKeywords xmlns="http://schemas.microsoft.com/sharepoint/v3" xsi:nil="true"/>
    <SeoMetaDescription xmlns="http://schemas.microsoft.com/sharepoint/v3" xsi:nil="true"/>
    <acd85e62d5c14e5395eb980cc79ff142 xmlns="95757e98-2b43-486c-8ee7-8b03e7fccc8c">
      <Terms xmlns="http://schemas.microsoft.com/office/infopath/2007/PartnerControls"/>
    </acd85e62d5c14e5395eb980cc79ff142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25089E0581AC4C91A41B42B12BE613" ma:contentTypeVersion="29" ma:contentTypeDescription="Create a new document." ma:contentTypeScope="" ma:versionID="20fb4ada532c581c483437858b171b33">
  <xsd:schema xmlns:xsd="http://www.w3.org/2001/XMLSchema" xmlns:xs="http://www.w3.org/2001/XMLSchema" xmlns:p="http://schemas.microsoft.com/office/2006/metadata/properties" xmlns:ns1="http://schemas.microsoft.com/sharepoint/v3" xmlns:ns2="95757e98-2b43-486c-8ee7-8b03e7fccc8c" xmlns:ns3="d6140507-47f7-4bd0-a7fb-7ed044ce4c7f" xmlns:ns4="7d838c79-b4b9-45cf-abf6-8797d45acb6b" targetNamespace="http://schemas.microsoft.com/office/2006/metadata/properties" ma:root="true" ma:fieldsID="cb11bb312fe3c2ed2806dc29381700ee" ns1:_="" ns2:_="" ns3:_="" ns4:_="">
    <xsd:import namespace="http://schemas.microsoft.com/sharepoint/v3"/>
    <xsd:import namespace="95757e98-2b43-486c-8ee7-8b03e7fccc8c"/>
    <xsd:import namespace="d6140507-47f7-4bd0-a7fb-7ed044ce4c7f"/>
    <xsd:import namespace="7d838c79-b4b9-45cf-abf6-8797d45acb6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acd85e62d5c14e5395eb980cc79ff142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SeoMetaDescription" minOccurs="0"/>
                <xsd:element ref="ns1:SeoKeywor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  <xsd:element name="SeoMetaDescription" ma:index="26" nillable="true" ma:displayName="Meta Description" ma:description="Meta Description is a site column created by the Publishing feature. Internet search engines may display this description in search results pages." ma:hidden="true" ma:internalName="SeoMetaDescription">
      <xsd:simpleType>
        <xsd:restriction base="dms:Text"/>
      </xsd:simpleType>
    </xsd:element>
    <xsd:element name="SeoKeywords" ma:index="27" nillable="true" ma:displayName="Meta Keywords" ma:description="Meta Keywords" ma:hidden="true" ma:internalName="SeoKeywords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57e98-2b43-486c-8ee7-8b03e7fccc8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72319ed4-2720-46ef-a16f-e341e8646601}" ma:internalName="TaxCatchAll" ma:showField="CatchAllData" ma:web="7d838c79-b4b9-45cf-abf6-8797d45acb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72319ed4-2720-46ef-a16f-e341e8646601}" ma:internalName="TaxCatchAllLabel" ma:readOnly="true" ma:showField="CatchAllDataLabel" ma:web="7d838c79-b4b9-45cf-abf6-8797d45acb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d85e62d5c14e5395eb980cc79ff142" ma:index="10" nillable="true" ma:taxonomy="true" ma:internalName="acd85e62d5c14e5395eb980cc79ff142" ma:taxonomyFieldName="MetaKeywords" ma:displayName="MetaKeywords" ma:readOnly="false" ma:default="" ma:fieldId="{acd85e62-d5c1-4e53-95eb-980cc79ff142}" ma:taxonomyMulti="true" ma:sspId="f436eb5e-c63d-4189-9248-e6e0fddb7cf9" ma:termSetId="1b81bd74-edac-423f-9865-4ef86d0522e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40507-47f7-4bd0-a7fb-7ed044ce4c7f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8c79-b4b9-45cf-abf6-8797d45acb6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f436eb5e-c63d-4189-9248-e6e0fddb7cf9" ContentTypeId="0x0101" PreviousValue="false"/>
</file>

<file path=customXml/itemProps1.xml><?xml version="1.0" encoding="utf-8"?>
<ds:datastoreItem xmlns:ds="http://schemas.openxmlformats.org/officeDocument/2006/customXml" ds:itemID="{CCE873C9-28A7-44B9-9F1F-01801F20B3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431F08-32B0-41F2-A4BE-BDE6BF9E1A17}">
  <ds:schemaRefs>
    <ds:schemaRef ds:uri="http://schemas.microsoft.com/office/2006/metadata/properties"/>
    <ds:schemaRef ds:uri="http://www.w3.org/2000/xmlns/"/>
    <ds:schemaRef ds:uri="http://schemas.microsoft.com/sharepoint/v3"/>
    <ds:schemaRef ds:uri="http://www.w3.org/2001/XMLSchema-instance"/>
    <ds:schemaRef ds:uri="95757e98-2b43-486c-8ee7-8b03e7fccc8c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9A8F7E8-FBDA-4D06-B7D6-940DDB82510F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95757e98-2b43-486c-8ee7-8b03e7fccc8c"/>
    <ds:schemaRef ds:uri="d6140507-47f7-4bd0-a7fb-7ed044ce4c7f"/>
    <ds:schemaRef ds:uri="7d838c79-b4b9-45cf-abf6-8797d45acb6b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50EA6FE-1623-45CC-8AFB-0F6C594FE8C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Current Rate</vt:lpstr>
      <vt:lpstr>Card</vt:lpstr>
      <vt:lpstr>POPULATE</vt:lpstr>
      <vt:lpstr>Card!Print_Area</vt:lpstr>
      <vt:lpstr>POPULATE!Print_Area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Idris-Animashaun, Shola</dc:creator>
  <cp:keywords/>
  <dc:description/>
  <cp:lastModifiedBy>Anugwom, Chinaza C</cp:lastModifiedBy>
  <cp:revision/>
  <cp:lastPrinted>2020-05-11T07:53:22Z</cp:lastPrinted>
  <dcterms:created xsi:type="dcterms:W3CDTF">2020-03-06T07:17:37Z</dcterms:created>
  <dcterms:modified xsi:type="dcterms:W3CDTF">2026-07-06T08:38:49Z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0x010100BB25089E0581AC4C91A41B42B12BE613</vt:lpwstr>
  </property>
  <property fmtid="{D5CDD505-2E9C-101B-9397-08002B2CF9AE}" pid="3" name="MetaKeywords">
    <vt:lpwstr/>
  </property>
  <property fmtid="{D5CDD505-2E9C-101B-9397-08002B2CF9AE}" pid="4" name="MSIP_Label_d6b9d4ea-d348-4e93-a29a-8def053c0154_Enabled">
    <vt:lpwstr>true</vt:lpwstr>
  </property>
  <property fmtid="{D5CDD505-2E9C-101B-9397-08002B2CF9AE}" pid="5" name="MSIP_Label_d6b9d4ea-d348-4e93-a29a-8def053c0154_SetDate">
    <vt:lpwstr>2024-01-02T07:45:40Z</vt:lpwstr>
  </property>
  <property fmtid="{D5CDD505-2E9C-101B-9397-08002B2CF9AE}" pid="6" name="MSIP_Label_d6b9d4ea-d348-4e93-a29a-8def053c0154_Method">
    <vt:lpwstr>Standard</vt:lpwstr>
  </property>
  <property fmtid="{D5CDD505-2E9C-101B-9397-08002B2CF9AE}" pid="7" name="MSIP_Label_d6b9d4ea-d348-4e93-a29a-8def053c0154_Name">
    <vt:lpwstr>d6b9d4ea-d348-4e93-a29a-8def053c0154</vt:lpwstr>
  </property>
  <property fmtid="{D5CDD505-2E9C-101B-9397-08002B2CF9AE}" pid="8" name="MSIP_Label_d6b9d4ea-d348-4e93-a29a-8def053c0154_SiteId">
    <vt:lpwstr>7369e6ec-faa6-42fa-bc0e-4f332da5b1db</vt:lpwstr>
  </property>
  <property fmtid="{D5CDD505-2E9C-101B-9397-08002B2CF9AE}" pid="9" name="MSIP_Label_d6b9d4ea-d348-4e93-a29a-8def053c0154_ActionId">
    <vt:lpwstr>d5254144-fa37-407f-872d-5378c15426a9</vt:lpwstr>
  </property>
  <property fmtid="{D5CDD505-2E9C-101B-9397-08002B2CF9AE}" pid="10" name="MSIP_Label_d6b9d4ea-d348-4e93-a29a-8def053c0154_ContentBits">
    <vt:lpwstr>2</vt:lpwstr>
  </property>
  <property fmtid="{D5CDD505-2E9C-101B-9397-08002B2CF9AE}" pid="11" name="SpreadsheetBuilder_1">
    <vt:lpwstr>eyIwIjoiSGlzdG9yeSIsIjEiOjAsIjIiOjEsIjMiOjEsIjQiOjEsIjUiOjEsIjYiOjEsIjciOjEsIjgiOjAsIjkiOjEsIjEwIjoxLCIxMSI6MCwiMTIiOjB9</vt:lpwstr>
  </property>
  <property fmtid="{D5CDD505-2E9C-101B-9397-08002B2CF9AE}" pid="12" name="SpreadsheetBuilder_2">
    <vt:lpwstr>eyIwIjoiSGlzdG9yeSIsIjEiOjAsIjIiOjEsIjMiOjEsIjQiOjEsIjUiOjEsIjYiOjEsIjciOjEsIjgiOjAsIjkiOjEsIjEwIjoxLCIxMSI6MCwiMTIiOjB9</vt:lpwstr>
  </property>
  <property fmtid="{D5CDD505-2E9C-101B-9397-08002B2CF9AE}" pid="13" name="SpreadsheetBuilder_3">
    <vt:lpwstr>eyIwIjoiSGlzdG9yeSIsIjEiOjAsIjIiOjEsIjMiOjEsIjQiOjEsIjUiOjEsIjYiOjEsIjciOjEsIjgiOjAsIjkiOjEsIjEwIjoxLCIxMSI6MCwiMTIiOjB9</vt:lpwstr>
  </property>
  <property fmtid="{D5CDD505-2E9C-101B-9397-08002B2CF9AE}" pid="14" name="SpreadsheetBuilder_4">
    <vt:lpwstr>eyIwIjoiSGlzdG9yeSIsIjEiOjAsIjIiOjEsIjMiOjEsIjQiOjEsIjUiOjEsIjYiOjEsIjciOjEsIjgiOjAsIjkiOjEsIjEwIjoxLCIxMSI6MCwiMTIiOjB9</vt:lpwstr>
  </property>
  <property fmtid="{D5CDD505-2E9C-101B-9397-08002B2CF9AE}" pid="15" name="SpreadsheetBuilder_5">
    <vt:lpwstr>eyIwIjoiSGlzdG9yeSIsIjEiOjAsIjIiOjEsIjMiOjEsIjQiOjEsIjUiOjEsIjYiOjEsIjciOjEsIjgiOjAsIjkiOjEsIjEwIjoxLCIxMSI6MCwiMTIiOjB9</vt:lpwstr>
  </property>
  <property fmtid="{D5CDD505-2E9C-101B-9397-08002B2CF9AE}" pid="16" name="SpreadsheetBuilder_6">
    <vt:lpwstr>eyIwIjoiSGlzdG9yeSIsIjEiOjAsIjIiOjEsIjMiOjEsIjQiOjEsIjUiOjEsIjYiOjEsIjciOjEsIjgiOjAsIjkiOjEsIjEwIjoxLCIxMSI6MCwiMTIiOjB9</vt:lpwstr>
  </property>
  <property fmtid="{D5CDD505-2E9C-101B-9397-08002B2CF9AE}" pid="17" name="SpreadsheetBuilder_7">
    <vt:lpwstr>eyIwIjoiRGF0YSIsIjEiOjAsIjIiOjEsIjMiOjEsIjQiOjEsIjUiOjEsIjYiOjEsIjciOjEsIjgiOjEsIjkiOjEsIjEwIjowLCIxMSI6MCwiMTIiOjB9</vt:lpwstr>
  </property>
</Properties>
</file>