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8_{6DC1376D-8BF9-4DD5-9AB1-304B96D64E3A}" xr6:coauthVersionLast="47" xr6:coauthVersionMax="47" xr10:uidLastSave="{00000000-0000-0000-0000-000000000000}"/>
  <bookViews>
    <workbookView xWindow="-110" yWindow="-110" windowWidth="19420" windowHeight="10300" activeTab="1" xr2:uid="{F500CDE6-9A9F-4B4E-83EC-1F2DE17CD6A8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H43" i="2"/>
  <c r="C43" i="2" s="1"/>
  <c r="G43" i="2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H37" i="2"/>
  <c r="C37" i="2" s="1"/>
  <c r="G37" i="2"/>
  <c r="D37" i="2"/>
  <c r="J36" i="2"/>
  <c r="H36" i="2"/>
  <c r="G36" i="2"/>
  <c r="D36" i="2"/>
  <c r="C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H23" i="2"/>
  <c r="C23" i="2" s="1"/>
  <c r="G23" i="2"/>
  <c r="D23" i="2"/>
  <c r="J22" i="2"/>
  <c r="H22" i="2"/>
  <c r="G22" i="2"/>
  <c r="D22" i="2"/>
  <c r="C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H15" i="2"/>
  <c r="C15" i="2" s="1"/>
  <c r="G15" i="2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H9" i="2"/>
  <c r="C9" i="2" s="1"/>
  <c r="G9" i="2"/>
  <c r="D9" i="2"/>
  <c r="J8" i="2"/>
  <c r="H8" i="2"/>
  <c r="G8" i="2"/>
  <c r="D8" i="2"/>
  <c r="C8" i="2"/>
  <c r="J7" i="2"/>
  <c r="H7" i="2"/>
  <c r="C7" i="2" s="1"/>
  <c r="G7" i="2"/>
  <c r="D7" i="2"/>
  <c r="J6" i="2"/>
  <c r="D6" i="2"/>
  <c r="H6" i="2" s="1"/>
  <c r="C6" i="2"/>
  <c r="K56" i="1"/>
  <c r="G43" i="1"/>
  <c r="P43" i="1" s="1"/>
  <c r="G41" i="1"/>
  <c r="P41" i="1" s="1"/>
  <c r="T39" i="1"/>
  <c r="S39" i="1"/>
  <c r="Q39" i="1"/>
  <c r="P39" i="1"/>
  <c r="K39" i="1"/>
  <c r="J39" i="1"/>
  <c r="H39" i="1"/>
  <c r="G39" i="1"/>
  <c r="P37" i="1"/>
  <c r="T37" i="1" s="1"/>
  <c r="K37" i="1"/>
  <c r="J37" i="1"/>
  <c r="H37" i="1"/>
  <c r="G37" i="1"/>
  <c r="B37" i="1"/>
  <c r="G35" i="1"/>
  <c r="P35" i="1" s="1"/>
  <c r="X34" i="1"/>
  <c r="G33" i="1"/>
  <c r="P33" i="1" s="1"/>
  <c r="X32" i="1"/>
  <c r="G31" i="1"/>
  <c r="P31" i="1" s="1"/>
  <c r="X30" i="1"/>
  <c r="T29" i="1"/>
  <c r="G29" i="1"/>
  <c r="P29" i="1" s="1"/>
  <c r="X28" i="1"/>
  <c r="G27" i="1"/>
  <c r="P27" i="1" s="1"/>
  <c r="X26" i="1"/>
  <c r="G25" i="1"/>
  <c r="P25" i="1" s="1"/>
  <c r="C23" i="1"/>
  <c r="B23" i="1"/>
  <c r="B16" i="1"/>
  <c r="S27" i="1" l="1"/>
  <c r="Q27" i="1"/>
  <c r="T27" i="1" s="1"/>
  <c r="T41" i="1"/>
  <c r="S41" i="1"/>
  <c r="Q41" i="1"/>
  <c r="T43" i="1"/>
  <c r="S43" i="1"/>
  <c r="Q43" i="1"/>
  <c r="S29" i="1"/>
  <c r="Q29" i="1"/>
  <c r="S31" i="1"/>
  <c r="Q31" i="1"/>
  <c r="T31" i="1"/>
  <c r="B43" i="1"/>
  <c r="B39" i="1"/>
  <c r="B41" i="1"/>
  <c r="L50" i="1" s="1"/>
  <c r="B35" i="1"/>
  <c r="B33" i="1"/>
  <c r="L51" i="1" s="1"/>
  <c r="S33" i="1"/>
  <c r="Q33" i="1"/>
  <c r="T33" i="1" s="1"/>
  <c r="C39" i="1"/>
  <c r="C41" i="1"/>
  <c r="C31" i="1"/>
  <c r="C27" i="1"/>
  <c r="C25" i="1"/>
  <c r="L48" i="1" s="1"/>
  <c r="C37" i="1"/>
  <c r="Y24" i="1"/>
  <c r="S25" i="1"/>
  <c r="Q25" i="1"/>
  <c r="T25" i="1"/>
  <c r="S35" i="1"/>
  <c r="Q35" i="1"/>
  <c r="T35" i="1"/>
  <c r="H43" i="1"/>
  <c r="J43" i="1"/>
  <c r="C43" i="1" s="1"/>
  <c r="H25" i="1"/>
  <c r="H27" i="1"/>
  <c r="K27" i="1" s="1"/>
  <c r="B27" i="1" s="1"/>
  <c r="L52" i="1" s="1"/>
  <c r="H29" i="1"/>
  <c r="H31" i="1"/>
  <c r="H33" i="1"/>
  <c r="K33" i="1" s="1"/>
  <c r="H35" i="1"/>
  <c r="Q37" i="1"/>
  <c r="K43" i="1"/>
  <c r="J25" i="1"/>
  <c r="B25" i="1" s="1"/>
  <c r="J27" i="1"/>
  <c r="J29" i="1"/>
  <c r="B29" i="1" s="1"/>
  <c r="J31" i="1"/>
  <c r="J33" i="1"/>
  <c r="C33" i="1" s="1"/>
  <c r="J35" i="1"/>
  <c r="C35" i="1" s="1"/>
  <c r="S37" i="1"/>
  <c r="K25" i="1"/>
  <c r="K29" i="1"/>
  <c r="C29" i="1" s="1"/>
  <c r="L49" i="1" s="1"/>
  <c r="K31" i="1"/>
  <c r="B31" i="1" s="1"/>
  <c r="K35" i="1"/>
  <c r="H41" i="1"/>
  <c r="J41" i="1"/>
  <c r="K41" i="1"/>
  <c r="AA24" i="1" l="1"/>
  <c r="Y34" i="1"/>
  <c r="Y32" i="1"/>
  <c r="Y30" i="1"/>
  <c r="Y28" i="1"/>
  <c r="Y26" i="1"/>
  <c r="AA34" i="1" l="1"/>
  <c r="AA32" i="1"/>
  <c r="AA30" i="1"/>
  <c r="AA28" i="1"/>
  <c r="AA26" i="1"/>
  <c r="AB24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<sst xmlns="http://schemas.openxmlformats.org/spreadsheetml/2006/main" count="153" uniqueCount="101">
  <si>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</si>
  <si>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</si>
  <si>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</si>
  <si>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</si>
  <si>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</si>
  <si>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</si>
  <si>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</si>
  <si>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</si>
  <si>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</si>
  <si>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</si>
  <si>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</si>
  <si>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</si>
  <si>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</si>
  <si>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</si>
  <si>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</si>
  <si>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</si>
  <si>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</si>
  <si>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</si>
  <si>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</si>
  <si>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</si>
  <si>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</si>
  <si>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</si>
  <si>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</si>
  <si>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</si>
  <si>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</si>
  <si>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</si>
  <si>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</si>
  <si>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</si>
  <si>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</si>
  <si>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</si>
  <si>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</si>
  <si>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</si>
  <si>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</si>
  <si>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</si>
  <si>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</si>
  <si>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</si>
  <si>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</si>
  <si>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</si>
  <si>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</si>
  <si>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</si>
  <si>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</si>
  <si>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</si>
  <si>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</si>
  <si>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</si>
  <si>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</si>
  <si>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</si>
  <si>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</si>
  <si>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</si>
  <si>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</si>
  <si>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</si>
  <si>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</si>
  <si>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</si>
  <si>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CNY/NGN</t>
  </si>
  <si>
    <t>USD/CNY</t>
  </si>
  <si>
    <t>Form M Rate</t>
  </si>
  <si>
    <t>`1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</si>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</sst>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chinaza_anugwom_stanbicibtc_com/Documents/Attachments/CURRENT%20RATE%20GUIDE%20-%20July%2021st%202026.xlsx" TargetMode="External"/><Relationship Id="rId1" Type="http://schemas.openxmlformats.org/officeDocument/2006/relationships/externalLinkPath" Target="https://standardbank-my.sharepoint.com/personal/chinaza_anugwom_stanbicibtc_com/Documents/Attachments/CURRENT%20RATE%20GUIDE%20-%20July%2021s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1385</v>
          </cell>
        </row>
        <row r="7">
          <cell r="D7">
            <v>1.1425000000000001</v>
          </cell>
          <cell r="G7">
            <v>1355</v>
          </cell>
          <cell r="H7">
            <v>1385</v>
          </cell>
        </row>
        <row r="8">
          <cell r="D8">
            <v>162.58000000000001</v>
          </cell>
        </row>
        <row r="9">
          <cell r="D9">
            <v>1.3441000000000001</v>
          </cell>
          <cell r="G9">
            <v>1.1424000000000001</v>
          </cell>
        </row>
        <row r="10">
          <cell r="D10">
            <v>0.80969999999999998</v>
          </cell>
          <cell r="G10">
            <v>162.57</v>
          </cell>
        </row>
        <row r="11">
          <cell r="D11">
            <v>16.431000000000001</v>
          </cell>
          <cell r="G11">
            <v>1.3440000000000001</v>
          </cell>
        </row>
        <row r="12">
          <cell r="D12">
            <v>6.5435999999999996</v>
          </cell>
          <cell r="G12">
            <v>0.80969999999999998</v>
          </cell>
        </row>
        <row r="13">
          <cell r="D13">
            <v>1.4065000000000001</v>
          </cell>
          <cell r="G13">
            <v>16.4254</v>
          </cell>
        </row>
        <row r="14">
          <cell r="D14">
            <v>0.70189999999999997</v>
          </cell>
          <cell r="G14">
            <v>6.5431999999999997</v>
          </cell>
        </row>
        <row r="15">
          <cell r="D15">
            <v>6.7659000000000002</v>
          </cell>
          <cell r="G15">
            <v>1.4064000000000001</v>
          </cell>
        </row>
        <row r="16">
          <cell r="D16">
            <v>6.7659000000000002</v>
          </cell>
          <cell r="G16">
            <v>0.70179999999999998</v>
          </cell>
        </row>
        <row r="17">
          <cell r="D17">
            <v>11.58</v>
          </cell>
          <cell r="G17">
            <v>6.7656999999999998</v>
          </cell>
        </row>
        <row r="18">
          <cell r="D18">
            <v>47.201300000000003</v>
          </cell>
          <cell r="G18">
            <v>6.7656000000000001</v>
          </cell>
        </row>
        <row r="19">
          <cell r="D19">
            <v>3.7898999999999998</v>
          </cell>
          <cell r="G19">
            <v>1383.14</v>
          </cell>
        </row>
        <row r="20">
          <cell r="D20">
            <v>9.6622000000000003</v>
          </cell>
        </row>
        <row r="21">
          <cell r="D21">
            <v>129.35</v>
          </cell>
        </row>
        <row r="22">
          <cell r="D22">
            <v>574.17190000000005</v>
          </cell>
        </row>
        <row r="23">
          <cell r="D23">
            <v>96.232500000000002</v>
          </cell>
        </row>
        <row r="24">
          <cell r="D24">
            <v>105.02930000000001</v>
          </cell>
        </row>
        <row r="25">
          <cell r="D25">
            <v>3.673</v>
          </cell>
        </row>
        <row r="26">
          <cell r="D26">
            <v>1.2896000000000001</v>
          </cell>
        </row>
        <row r="27">
          <cell r="D27">
            <v>3711.78</v>
          </cell>
        </row>
        <row r="28">
          <cell r="D28">
            <v>336.27</v>
          </cell>
        </row>
        <row r="29">
          <cell r="D29">
            <v>3.0510999999999999</v>
          </cell>
        </row>
        <row r="30">
          <cell r="D30">
            <v>2654.29</v>
          </cell>
        </row>
        <row r="31">
          <cell r="D31">
            <v>14.3988</v>
          </cell>
        </row>
        <row r="32">
          <cell r="D32">
            <v>6.7350000000000003</v>
          </cell>
        </row>
        <row r="33">
          <cell r="D33">
            <v>47.41</v>
          </cell>
        </row>
        <row r="34">
          <cell r="D34">
            <v>574.17190000000005</v>
          </cell>
        </row>
        <row r="35">
          <cell r="D35">
            <v>4.5861000000000001</v>
          </cell>
        </row>
        <row r="36">
          <cell r="D36">
            <v>24410</v>
          </cell>
        </row>
        <row r="37">
          <cell r="D37">
            <v>44.761000000000003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61.741</v>
          </cell>
        </row>
        <row r="41">
          <cell r="D41">
            <v>26318</v>
          </cell>
        </row>
        <row r="42">
          <cell r="D42">
            <v>7.8418000000000001</v>
          </cell>
        </row>
        <row r="43">
          <cell r="D43">
            <v>3.7545999999999999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DB051-2B5E-4C41-AD1C-D8B1AB908026}">
  <dimension ref="A1:AI93"/>
  <sheetViews>
    <sheetView workbookViewId="0">
      <selection activeCell="A12" sqref="A12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/>
      <c r="H9" s="16"/>
      <c r="I9" s="10"/>
      <c r="J9" s="10"/>
      <c r="K9" s="3"/>
      <c r="L9" s="2"/>
      <c r="M9" s="2"/>
      <c r="O9" s="10"/>
      <c r="P9" s="16"/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/>
      <c r="H10" s="16"/>
      <c r="I10" s="10"/>
      <c r="J10" s="10"/>
      <c r="K10" s="3"/>
      <c r="L10" s="2"/>
      <c r="M10" s="2"/>
      <c r="O10" s="10"/>
      <c r="P10" s="16"/>
      <c r="Q10" s="16"/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/>
      <c r="H11" s="16"/>
      <c r="I11" s="16"/>
      <c r="J11" s="15"/>
      <c r="K11" s="18"/>
      <c r="L11" s="2"/>
      <c r="M11" s="2"/>
      <c r="O11" s="2"/>
      <c r="P11" s="17"/>
      <c r="Q11" s="16"/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46224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100</v>
      </c>
      <c r="K17" s="28">
        <v>100</v>
      </c>
      <c r="L17" s="2"/>
      <c r="M17" s="2"/>
      <c r="O17" s="26"/>
      <c r="P17" s="3"/>
      <c r="Q17" s="27"/>
      <c r="R17" s="22"/>
      <c r="S17" s="28">
        <v>150</v>
      </c>
      <c r="T17" s="28">
        <v>150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1355</v>
      </c>
      <c r="C23" s="8">
        <f>[1]POPULATE!H7</f>
        <v>1385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1385</v>
      </c>
      <c r="Z24" s="19"/>
      <c r="AA24" s="50">
        <f>Y24</f>
        <v>1385</v>
      </c>
      <c r="AB24" s="49">
        <f>AA24</f>
        <v>1385</v>
      </c>
      <c r="AD24" s="4" t="s">
        <v>23</v>
      </c>
    </row>
    <row r="25" spans="1:35" ht="14" x14ac:dyDescent="0.3">
      <c r="A25" s="2" t="s">
        <v>24</v>
      </c>
      <c r="B25" s="8">
        <f>B23*(J25-0.0075)</f>
        <v>1524.2394999999999</v>
      </c>
      <c r="C25" s="8">
        <f>+C23*(K25-0.0055)</f>
        <v>1588.4565</v>
      </c>
      <c r="D25" s="8"/>
      <c r="E25" s="8"/>
      <c r="F25" s="51" t="s">
        <v>25</v>
      </c>
      <c r="G25" s="52">
        <f>[1]POPULATE!G9</f>
        <v>1.1424000000000001</v>
      </c>
      <c r="H25" s="53">
        <f>+G25+0.03</f>
        <v>1.1724000000000001</v>
      </c>
      <c r="I25" s="53"/>
      <c r="J25" s="45">
        <f>+(G25-($J$17/10000))+0</f>
        <v>1.1324000000000001</v>
      </c>
      <c r="K25" s="45">
        <f>+(G25+($K$17/10000))+0</f>
        <v>1.1524000000000001</v>
      </c>
      <c r="L25" s="8" t="s">
        <v>26</v>
      </c>
      <c r="M25" s="54"/>
      <c r="N25" s="48"/>
      <c r="O25" s="51" t="s">
        <v>25</v>
      </c>
      <c r="P25" s="52">
        <f>G25</f>
        <v>1.1424000000000001</v>
      </c>
      <c r="Q25" s="53">
        <f>+P25+0.03</f>
        <v>1.1724000000000001</v>
      </c>
      <c r="R25" s="53"/>
      <c r="S25" s="45">
        <f>+(P25-($S$17/10000))+0</f>
        <v>1.1274000000000002</v>
      </c>
      <c r="T25" s="45">
        <f>+(P25+($T$17/10000))+0</f>
        <v>1.1574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1.1484000000000001</v>
      </c>
      <c r="Y26" s="49">
        <f>$Y$24*X26</f>
        <v>1590.5340000000001</v>
      </c>
      <c r="Z26" s="19"/>
      <c r="AA26" s="56">
        <f>$AA$24*X26</f>
        <v>1590.5340000000001</v>
      </c>
      <c r="AB26" s="56">
        <f>$AB$24*X26</f>
        <v>1590.5340000000001</v>
      </c>
      <c r="AD26" s="4" t="s">
        <v>23</v>
      </c>
    </row>
    <row r="27" spans="1:35" ht="14" x14ac:dyDescent="0.3">
      <c r="A27" s="2" t="s">
        <v>28</v>
      </c>
      <c r="B27" s="8">
        <f>+B23/K27</f>
        <v>8.2335784164793093</v>
      </c>
      <c r="C27" s="8">
        <f>+C23/J27</f>
        <v>8.5721359163211002</v>
      </c>
      <c r="D27" s="23"/>
      <c r="E27" s="59"/>
      <c r="F27" s="51" t="s">
        <v>29</v>
      </c>
      <c r="G27" s="52">
        <f>[1]POPULATE!G10</f>
        <v>162.57</v>
      </c>
      <c r="H27" s="53">
        <f>+G27+1</f>
        <v>163.57</v>
      </c>
      <c r="I27" s="17"/>
      <c r="J27" s="8">
        <f>+(G27-($J$17/100))+0</f>
        <v>161.57</v>
      </c>
      <c r="K27" s="8">
        <f>+(H27+($K$17/100))-0</f>
        <v>164.57</v>
      </c>
      <c r="L27" s="16" t="s">
        <v>30</v>
      </c>
      <c r="M27" s="16"/>
      <c r="O27" s="51" t="s">
        <v>29</v>
      </c>
      <c r="P27" s="52">
        <f t="shared" ref="P27:P43" si="0">G27</f>
        <v>162.57</v>
      </c>
      <c r="Q27" s="53">
        <f>+P27+1</f>
        <v>163.57</v>
      </c>
      <c r="R27" s="17"/>
      <c r="S27" s="8">
        <f>+(P27-($S$17/100))+0</f>
        <v>161.07</v>
      </c>
      <c r="T27" s="8">
        <f>+(Q27+($T$17/100))-0</f>
        <v>165.07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1.35</v>
      </c>
      <c r="Y28" s="49">
        <f>$Y$24*X28</f>
        <v>1869.7500000000002</v>
      </c>
      <c r="Z28" s="19"/>
      <c r="AA28" s="56">
        <f>$AA$24*X28</f>
        <v>1869.7500000000002</v>
      </c>
      <c r="AB28" s="56">
        <f>$AB$24*X28</f>
        <v>1869.7500000000002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1797.4075</v>
      </c>
      <c r="C29" s="16">
        <f>+C23*(K29-0.0055)</f>
        <v>1867.6725000000001</v>
      </c>
      <c r="D29" s="16"/>
      <c r="E29" s="8"/>
      <c r="F29" s="41" t="s">
        <v>32</v>
      </c>
      <c r="G29" s="52">
        <f>[1]POPULATE!G11</f>
        <v>1.3440000000000001</v>
      </c>
      <c r="H29" s="53">
        <f>+G29+0.03</f>
        <v>1.3740000000000001</v>
      </c>
      <c r="I29" s="53"/>
      <c r="J29" s="45">
        <f>+(G29-($J$17/10000))+0</f>
        <v>1.3340000000000001</v>
      </c>
      <c r="K29" s="45">
        <f>+(G29+($K$17/10000))-0</f>
        <v>1.3540000000000001</v>
      </c>
      <c r="L29" s="16" t="s">
        <v>33</v>
      </c>
      <c r="M29" s="16"/>
      <c r="N29" s="48"/>
      <c r="O29" s="41" t="s">
        <v>32</v>
      </c>
      <c r="P29" s="52">
        <f t="shared" si="0"/>
        <v>1.3440000000000001</v>
      </c>
      <c r="Q29" s="53">
        <f>+P29+0.03</f>
        <v>1.3740000000000001</v>
      </c>
      <c r="R29" s="53"/>
      <c r="S29" s="45">
        <f>+(P29-($S$17/10000))+0</f>
        <v>1.3290000000000002</v>
      </c>
      <c r="T29" s="45">
        <f>+(P29+($T$17/10000))-0</f>
        <v>1.359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0.80369999999999997</v>
      </c>
      <c r="Y30" s="49">
        <f>$Y$24/X30</f>
        <v>1723.2798307826304</v>
      </c>
      <c r="Z30" s="19"/>
      <c r="AA30" s="56">
        <f>$AA$24/X30</f>
        <v>1723.2798307826304</v>
      </c>
      <c r="AB30" s="56">
        <f>$AB$24/X30</f>
        <v>1723.2798307826304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1653.0437965109186</v>
      </c>
      <c r="C31" s="16">
        <f>+C23/J31</f>
        <v>1731.8994622983619</v>
      </c>
      <c r="D31" s="16"/>
      <c r="E31" s="8"/>
      <c r="F31" s="41" t="s">
        <v>35</v>
      </c>
      <c r="G31" s="52">
        <f>[1]POPULATE!G12</f>
        <v>0.80969999999999998</v>
      </c>
      <c r="H31" s="53">
        <f>+G31+0.04</f>
        <v>0.84970000000000001</v>
      </c>
      <c r="I31" s="53"/>
      <c r="J31" s="45">
        <f>+(G31-($J$17/10000))+0</f>
        <v>0.79969999999999997</v>
      </c>
      <c r="K31" s="45">
        <f>+(G31+($K$17/10000))-0</f>
        <v>0.81969999999999998</v>
      </c>
      <c r="L31" s="16" t="s">
        <v>36</v>
      </c>
      <c r="M31" s="16"/>
      <c r="N31" s="48"/>
      <c r="O31" s="41" t="s">
        <v>35</v>
      </c>
      <c r="P31" s="52">
        <f t="shared" si="0"/>
        <v>0.80969999999999998</v>
      </c>
      <c r="Q31" s="53">
        <f>+P31+0.04</f>
        <v>0.84970000000000001</v>
      </c>
      <c r="R31" s="53"/>
      <c r="S31" s="45">
        <f>+(P31-($S$17/10000))+0</f>
        <v>0.79469999999999996</v>
      </c>
      <c r="T31" s="45">
        <f>+(P31+($T$17/10000))-0</f>
        <v>0.82469999999999999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16.355399999999999</v>
      </c>
      <c r="Y32" s="49">
        <f>$Y$24/X32</f>
        <v>84.681511916553561</v>
      </c>
      <c r="Z32" s="19"/>
      <c r="AA32" s="56">
        <f>$AA$24/X32</f>
        <v>84.681511916553561</v>
      </c>
      <c r="AB32" s="56">
        <f>$AB$24/X32</f>
        <v>84.681511916553561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81.994989531267009</v>
      </c>
      <c r="C33" s="16">
        <f>+C23/J33</f>
        <v>84.811149757507479</v>
      </c>
      <c r="D33" s="16"/>
      <c r="E33" s="8"/>
      <c r="F33" s="66" t="s">
        <v>38</v>
      </c>
      <c r="G33" s="52">
        <f>[1]POPULATE!G13</f>
        <v>16.4254</v>
      </c>
      <c r="H33" s="53">
        <f>+G33+0.04</f>
        <v>16.465399999999999</v>
      </c>
      <c r="I33" s="67"/>
      <c r="J33" s="45">
        <f>+(G33-($J$17/10000))-0.085</f>
        <v>16.330399999999997</v>
      </c>
      <c r="K33" s="45">
        <f>+(H33+($K$17/10000))+0.05</f>
        <v>16.525400000000001</v>
      </c>
      <c r="L33" s="41" t="s">
        <v>39</v>
      </c>
      <c r="M33" s="41"/>
      <c r="N33" s="48"/>
      <c r="O33" s="66" t="s">
        <v>38</v>
      </c>
      <c r="P33" s="52">
        <f t="shared" si="0"/>
        <v>16.4254</v>
      </c>
      <c r="Q33" s="53">
        <f>+P33+0.04</f>
        <v>16.465399999999999</v>
      </c>
      <c r="R33" s="67"/>
      <c r="S33" s="45">
        <f>+(P33-($S$17/10000))-0.085</f>
        <v>16.325399999999998</v>
      </c>
      <c r="T33" s="45">
        <f>+(Q33+($T$17/10000))+0.05</f>
        <v>16.5304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1.4004000000000001</v>
      </c>
      <c r="Y34" s="49">
        <f>$Y$24/X34</f>
        <v>989.00314195944009</v>
      </c>
      <c r="Z34" s="19"/>
      <c r="AA34" s="56">
        <f>$AA$24/X34</f>
        <v>989.00314195944009</v>
      </c>
      <c r="AB34" s="56">
        <f>$AB$24/X34</f>
        <v>989.00314195944009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206.7692119880364</v>
      </c>
      <c r="C35" s="16">
        <f>+C23/J35</f>
        <v>211.99412232902714</v>
      </c>
      <c r="D35" s="16"/>
      <c r="E35" s="8"/>
      <c r="F35" s="66" t="s">
        <v>42</v>
      </c>
      <c r="G35" s="52">
        <f>[1]POPULATE!G14</f>
        <v>6.5431999999999997</v>
      </c>
      <c r="H35" s="53">
        <f>+G35+0.04</f>
        <v>6.5831999999999997</v>
      </c>
      <c r="I35" s="67"/>
      <c r="J35" s="45">
        <f>+(G35-($J$17/10000))-0</f>
        <v>6.5331999999999999</v>
      </c>
      <c r="K35" s="45">
        <f>+(G35+($K$17/10000))-0</f>
        <v>6.5531999999999995</v>
      </c>
      <c r="L35" s="16" t="s">
        <v>43</v>
      </c>
      <c r="M35" s="16"/>
      <c r="N35" s="48"/>
      <c r="O35" s="66" t="s">
        <v>42</v>
      </c>
      <c r="P35" s="52">
        <f t="shared" si="0"/>
        <v>6.5431999999999997</v>
      </c>
      <c r="Q35" s="53">
        <f>+P35+0.04</f>
        <v>6.5831999999999997</v>
      </c>
      <c r="R35" s="67"/>
      <c r="S35" s="45">
        <f>+(P35-($S$17/10000))-0</f>
        <v>6.5282</v>
      </c>
      <c r="T35" s="45">
        <f>+(P35+($T$17/10000))-0</f>
        <v>6.5581999999999994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956.65066365433483</v>
      </c>
      <c r="C37" s="16">
        <f>+C23/J37</f>
        <v>991.83615010025778</v>
      </c>
      <c r="D37" s="16"/>
      <c r="E37" s="8"/>
      <c r="F37" s="66" t="s">
        <v>44</v>
      </c>
      <c r="G37" s="52">
        <f>[1]POPULATE!G15</f>
        <v>1.4064000000000001</v>
      </c>
      <c r="H37" s="53">
        <f>+G37+0.04</f>
        <v>1.4464000000000001</v>
      </c>
      <c r="I37" s="69"/>
      <c r="J37" s="45">
        <f>+(G37-($J$17/10000))-0</f>
        <v>1.3964000000000001</v>
      </c>
      <c r="K37" s="45">
        <f>+(G37+($K$17/10000))-0</f>
        <v>1.4164000000000001</v>
      </c>
      <c r="L37" s="16" t="s">
        <v>45</v>
      </c>
      <c r="M37" s="16"/>
      <c r="N37" s="48"/>
      <c r="O37" s="66" t="s">
        <v>44</v>
      </c>
      <c r="P37" s="52">
        <f t="shared" si="0"/>
        <v>1.4064000000000001</v>
      </c>
      <c r="Q37" s="53">
        <f>+P37+0.04</f>
        <v>1.4464000000000001</v>
      </c>
      <c r="R37" s="69"/>
      <c r="S37" s="45">
        <f>+(P37-($S$17/10000))-0</f>
        <v>1.3914000000000002</v>
      </c>
      <c r="T37" s="45">
        <f>+(P37+($T$17/10000))-0</f>
        <v>1.4214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937.38900000000001</v>
      </c>
      <c r="C39" s="8">
        <f>+C23*K39</f>
        <v>985.84299999999996</v>
      </c>
      <c r="D39" s="8"/>
      <c r="E39" s="8"/>
      <c r="F39" s="66" t="s">
        <v>47</v>
      </c>
      <c r="G39" s="52">
        <f>[1]POPULATE!G16</f>
        <v>0.70179999999999998</v>
      </c>
      <c r="H39" s="53">
        <f>+G39+0.04</f>
        <v>0.74180000000000001</v>
      </c>
      <c r="I39" s="67"/>
      <c r="J39" s="45">
        <f>+(G39-($J$17/10000))+0</f>
        <v>0.69179999999999997</v>
      </c>
      <c r="K39" s="45">
        <f>+(G39+($K$17/10000))-0</f>
        <v>0.71179999999999999</v>
      </c>
      <c r="L39" s="8" t="s">
        <v>48</v>
      </c>
      <c r="M39" s="8"/>
      <c r="N39" s="48"/>
      <c r="O39" s="66" t="s">
        <v>47</v>
      </c>
      <c r="P39" s="52">
        <f t="shared" si="0"/>
        <v>0.70179999999999998</v>
      </c>
      <c r="Q39" s="53">
        <f>+P39+0.04</f>
        <v>0.74180000000000001</v>
      </c>
      <c r="R39" s="67"/>
      <c r="S39" s="45">
        <f>+(P39-($S$17/10000))+0</f>
        <v>0.68679999999999997</v>
      </c>
      <c r="T39" s="45">
        <f>+(P39+($T$17/10000))-0</f>
        <v>0.71679999999999999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199.97933792818455</v>
      </c>
      <c r="C41" s="8">
        <f>+C23/J41</f>
        <v>205.01206388679191</v>
      </c>
      <c r="D41" s="8"/>
      <c r="E41" s="8"/>
      <c r="F41" s="66" t="s">
        <v>50</v>
      </c>
      <c r="G41" s="52">
        <f>[1]POPULATE!G17</f>
        <v>6.7656999999999998</v>
      </c>
      <c r="H41" s="53">
        <f>+G41+0.04</f>
        <v>6.8056999999999999</v>
      </c>
      <c r="I41" s="67"/>
      <c r="J41" s="23">
        <f>+(G41-($J$17/10000))+0</f>
        <v>6.7557</v>
      </c>
      <c r="K41" s="23">
        <f>+(G41+($K$17/10000))-0</f>
        <v>6.7756999999999996</v>
      </c>
      <c r="L41" s="8" t="s">
        <v>51</v>
      </c>
      <c r="M41" s="8"/>
      <c r="N41" s="48"/>
      <c r="O41" s="66" t="s">
        <v>50</v>
      </c>
      <c r="P41" s="52">
        <f t="shared" si="0"/>
        <v>6.7656999999999998</v>
      </c>
      <c r="Q41" s="53">
        <f>+P41+0.04</f>
        <v>6.8056999999999999</v>
      </c>
      <c r="R41" s="67"/>
      <c r="S41" s="23">
        <f>+(P41-($S$17/10000))+0</f>
        <v>6.7507000000000001</v>
      </c>
      <c r="T41" s="23">
        <f>+(P41+($T$17/10000))-0</f>
        <v>6.7806999999999995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14" x14ac:dyDescent="0.3">
      <c r="A43" s="66" t="s">
        <v>52</v>
      </c>
      <c r="B43" s="16">
        <f>+B23/K43</f>
        <v>199.98228939134543</v>
      </c>
      <c r="C43" s="8">
        <f>+C23/J43</f>
        <v>205.01509858487773</v>
      </c>
      <c r="D43" s="35"/>
      <c r="E43" s="8"/>
      <c r="F43" s="8" t="s">
        <v>53</v>
      </c>
      <c r="G43" s="52">
        <f>[1]POPULATE!G18</f>
        <v>6.7656000000000001</v>
      </c>
      <c r="H43" s="53">
        <f>+G43+0.04</f>
        <v>6.8056000000000001</v>
      </c>
      <c r="I43" s="16"/>
      <c r="J43" s="23">
        <f>+(G43-($J$17/10000))+0</f>
        <v>6.7556000000000003</v>
      </c>
      <c r="K43" s="23">
        <f>+(G43+($K$17/10000))-0</f>
        <v>6.7755999999999998</v>
      </c>
      <c r="L43" s="76"/>
      <c r="M43" s="76"/>
      <c r="N43" s="48"/>
      <c r="O43" s="8" t="s">
        <v>53</v>
      </c>
      <c r="P43" s="52">
        <f t="shared" si="0"/>
        <v>6.7656000000000001</v>
      </c>
      <c r="Q43" s="53">
        <f>+P43+0.04</f>
        <v>6.8056000000000001</v>
      </c>
      <c r="R43" s="16"/>
      <c r="S43" s="23">
        <f>+(P43-($S$17/10000))+0</f>
        <v>6.7506000000000004</v>
      </c>
      <c r="T43" s="23">
        <f>+(P43+($T$17/10000))-0</f>
        <v>6.7805999999999997</v>
      </c>
      <c r="U43" s="76"/>
      <c r="V43" s="76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7"/>
      <c r="H46" s="72"/>
      <c r="I46" s="48"/>
      <c r="J46" s="78" t="s">
        <v>54</v>
      </c>
      <c r="K46" s="78"/>
      <c r="L46" s="48"/>
      <c r="M46" s="48"/>
      <c r="N46" s="48"/>
      <c r="O46" s="48"/>
      <c r="P46" s="77"/>
      <c r="Q46" s="72"/>
      <c r="R46" s="48"/>
      <c r="S46" s="78"/>
      <c r="T46" s="78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7"/>
      <c r="H47" s="72"/>
      <c r="I47" s="48"/>
      <c r="J47" s="55" t="s">
        <v>20</v>
      </c>
      <c r="K47" s="45">
        <v>1379.62</v>
      </c>
      <c r="L47" s="45">
        <v>326</v>
      </c>
      <c r="M47" s="48"/>
      <c r="N47" s="48"/>
      <c r="O47" s="48"/>
      <c r="P47" s="77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79"/>
      <c r="F48" s="48"/>
      <c r="G48" s="77"/>
      <c r="H48" s="80"/>
      <c r="I48" s="48"/>
      <c r="J48" s="55" t="s">
        <v>27</v>
      </c>
      <c r="K48" s="45">
        <v>1575.66</v>
      </c>
      <c r="L48" s="45">
        <f>$Y$47*C25</f>
        <v>0</v>
      </c>
      <c r="M48" s="48"/>
      <c r="N48" s="48"/>
      <c r="O48" s="48"/>
      <c r="P48" s="77"/>
      <c r="Q48" s="80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1"/>
      <c r="F49" s="72"/>
      <c r="G49" s="72"/>
      <c r="H49" s="72"/>
      <c r="I49" s="48"/>
      <c r="J49" s="55" t="s">
        <v>31</v>
      </c>
      <c r="K49" s="45">
        <v>1850.62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2"/>
      <c r="G50" s="72"/>
      <c r="H50" s="72"/>
      <c r="I50" s="48"/>
      <c r="J50" s="55" t="s">
        <v>52</v>
      </c>
      <c r="K50" s="45">
        <v>203.56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84.53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3"/>
      <c r="F52" s="72"/>
      <c r="H52" s="72"/>
      <c r="I52" s="48"/>
      <c r="J52" s="55" t="s">
        <v>28</v>
      </c>
      <c r="K52" s="45">
        <v>8.52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3"/>
      <c r="F53" s="72"/>
      <c r="H53" s="72"/>
      <c r="I53" s="48"/>
      <c r="J53" s="84" t="s">
        <v>55</v>
      </c>
      <c r="K53" s="85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3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3"/>
      <c r="F55" s="72"/>
      <c r="H55" s="72"/>
      <c r="I55" s="48"/>
      <c r="J55" s="55"/>
      <c r="K55" s="86"/>
      <c r="L55" s="86"/>
      <c r="M55" s="87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3"/>
      <c r="F56" s="72"/>
      <c r="H56" s="72"/>
      <c r="I56" s="48"/>
      <c r="J56" s="88" t="s">
        <v>56</v>
      </c>
      <c r="K56" s="89">
        <f>[1]POPULATE!G19</f>
        <v>1383.14</v>
      </c>
      <c r="L56" s="90"/>
      <c r="M56" s="91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3"/>
      <c r="F57" s="72"/>
      <c r="H57" s="72"/>
      <c r="I57" s="48"/>
      <c r="J57" s="92"/>
      <c r="K57" s="92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3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3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3"/>
      <c r="F61" s="94"/>
      <c r="G61" s="48"/>
      <c r="H61" s="48"/>
      <c r="I61" s="48"/>
      <c r="J61" s="48"/>
      <c r="K61" s="48"/>
      <c r="L61" s="48"/>
      <c r="M61" s="48"/>
      <c r="N61" s="48"/>
      <c r="O61" s="94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5"/>
      <c r="F62" s="48"/>
      <c r="G62" s="96"/>
      <c r="H62" s="48"/>
      <c r="I62" s="48"/>
      <c r="K62" s="48"/>
      <c r="L62" s="48"/>
      <c r="M62" s="48"/>
      <c r="N62" s="48"/>
      <c r="O62" s="48"/>
      <c r="P62" s="96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7"/>
      <c r="F63" s="98"/>
      <c r="G63" s="96"/>
      <c r="H63" s="48"/>
      <c r="I63" s="48"/>
      <c r="J63" s="99"/>
      <c r="K63" s="83"/>
      <c r="L63" s="48"/>
      <c r="M63" s="48"/>
      <c r="N63" s="48"/>
      <c r="O63" s="98"/>
      <c r="P63" s="96"/>
      <c r="Q63" s="48"/>
      <c r="R63" s="48"/>
      <c r="S63" s="99"/>
      <c r="T63" s="83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7"/>
      <c r="F64" s="98"/>
      <c r="G64" s="96"/>
      <c r="H64" s="83"/>
      <c r="I64" s="48"/>
      <c r="J64" s="99"/>
      <c r="K64" s="83"/>
      <c r="L64" s="48"/>
      <c r="M64" s="48"/>
      <c r="N64" s="48"/>
      <c r="O64" s="98"/>
      <c r="P64" s="96"/>
      <c r="Q64" s="83"/>
      <c r="R64" s="48"/>
      <c r="S64" s="99"/>
      <c r="T64" s="83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7"/>
      <c r="F65" s="48"/>
      <c r="G65" s="96"/>
      <c r="H65" s="48"/>
      <c r="I65" s="48"/>
      <c r="K65" s="83"/>
      <c r="L65" s="48"/>
      <c r="M65" s="48"/>
      <c r="N65" s="48"/>
      <c r="O65" s="48"/>
      <c r="P65" s="96"/>
      <c r="Q65" s="48"/>
      <c r="R65" s="48"/>
      <c r="T65" s="83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0"/>
      <c r="C66" s="48"/>
      <c r="D66" s="48"/>
      <c r="E66" s="97"/>
      <c r="F66" s="48"/>
      <c r="G66" s="96"/>
      <c r="H66" s="83"/>
      <c r="I66" s="48"/>
      <c r="K66" s="48"/>
      <c r="L66" s="48"/>
      <c r="M66" s="48"/>
      <c r="N66" s="48"/>
      <c r="O66" s="48"/>
      <c r="P66" s="96"/>
      <c r="Q66" s="83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0"/>
      <c r="E67" s="101"/>
      <c r="G67" s="102"/>
      <c r="P67" s="102"/>
    </row>
    <row r="68" spans="2:35" x14ac:dyDescent="0.35">
      <c r="B68" s="103"/>
      <c r="F68" s="104"/>
      <c r="O68" s="104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5"/>
      <c r="I83" s="48"/>
      <c r="O83" s="105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6"/>
      <c r="R90" s="106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7"/>
      <c r="R93" s="107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C23">
    <cfRule type="cellIs" dxfId="109" priority="3" operator="notBetween">
      <formula>$K$56*0.98</formula>
      <formula>$K$56*1.02</formula>
    </cfRule>
  </conditionalFormatting>
  <conditionalFormatting sqref="C1:D1"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  <cfRule type="iconSet" priority="2533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8" priority="23" operator="lessThan">
      <formula>0.6</formula>
    </cfRule>
    <cfRule type="cellIs" dxfId="107" priority="24" operator="greaterThan">
      <formula>0.7</formula>
    </cfRule>
  </conditionalFormatting>
  <conditionalFormatting sqref="G41">
    <cfRule type="cellIs" dxfId="106" priority="21" operator="lessThan">
      <formula>6.5</formula>
    </cfRule>
    <cfRule type="cellIs" dxfId="105" priority="22" operator="greaterThan">
      <formula>7.5</formula>
    </cfRule>
  </conditionalFormatting>
  <conditionalFormatting sqref="G43">
    <cfRule type="cellIs" dxfId="103" priority="1" operator="lessThan">
      <formula>6.5</formula>
    </cfRule>
    <cfRule type="cellIs" dxfId="104" priority="2" operator="greaterThan">
      <formula>7.5</formula>
    </cfRule>
  </conditionalFormatting>
  <conditionalFormatting sqref="J25">
    <cfRule type="cellIs" dxfId="102" priority="37" operator="lessThan">
      <formula>1</formula>
    </cfRule>
    <cfRule type="cellIs" dxfId="101" priority="38" operator="greaterThan">
      <formula>1.2</formula>
    </cfRule>
  </conditionalFormatting>
  <conditionalFormatting sqref="J27">
    <cfRule type="cellIs" dxfId="100" priority="36" operator="lessThan">
      <formula>140</formula>
    </cfRule>
  </conditionalFormatting>
  <conditionalFormatting sqref="J29">
    <cfRule type="cellIs" dxfId="99" priority="34" operator="lessThan">
      <formula>1.05</formula>
    </cfRule>
    <cfRule type="cellIs" dxfId="98" priority="35" operator="greaterThan">
      <formula>1.4</formula>
    </cfRule>
  </conditionalFormatting>
  <conditionalFormatting sqref="J31">
    <cfRule type="cellIs" dxfId="97" priority="32" operator="lessThan">
      <formula>0.7</formula>
    </cfRule>
    <cfRule type="cellIs" dxfId="96" priority="33" operator="greaterThan">
      <formula>1</formula>
    </cfRule>
  </conditionalFormatting>
  <conditionalFormatting sqref="J33">
    <cfRule type="cellIs" dxfId="95" priority="30" operator="lessThan">
      <formula>15</formula>
    </cfRule>
    <cfRule type="cellIs" dxfId="94" priority="31" operator="greaterThan">
      <formula>19</formula>
    </cfRule>
  </conditionalFormatting>
  <conditionalFormatting sqref="J35">
    <cfRule type="cellIs" dxfId="93" priority="28" operator="lessThan">
      <formula>6</formula>
    </cfRule>
    <cfRule type="cellIs" dxfId="92" priority="29" operator="greaterThan">
      <formula>7.5</formula>
    </cfRule>
  </conditionalFormatting>
  <conditionalFormatting sqref="J37">
    <cfRule type="cellIs" dxfId="91" priority="26" operator="lessThan">
      <formula>1.1</formula>
    </cfRule>
    <cfRule type="cellIs" dxfId="90" priority="27" operator="greaterThan">
      <formula>1.5</formula>
    </cfRule>
  </conditionalFormatting>
  <conditionalFormatting sqref="J39">
    <cfRule type="cellIs" dxfId="89" priority="25" operator="greaterThan">
      <formula>0.72</formula>
    </cfRule>
  </conditionalFormatting>
  <conditionalFormatting sqref="P44">
    <cfRule type="cellIs" dxfId="88" priority="4" operator="lessThan">
      <formula>0.82</formula>
    </cfRule>
    <cfRule type="cellIs" dxfId="87" priority="5" operator="greaterThan">
      <formula>0.88</formula>
    </cfRule>
  </conditionalFormatting>
  <conditionalFormatting sqref="S25">
    <cfRule type="cellIs" dxfId="86" priority="19" operator="lessThan">
      <formula>0.9</formula>
    </cfRule>
    <cfRule type="cellIs" dxfId="85" priority="20" operator="greaterThan">
      <formula>1.2</formula>
    </cfRule>
  </conditionalFormatting>
  <conditionalFormatting sqref="S27">
    <cfRule type="cellIs" dxfId="84" priority="17" operator="lessThan">
      <formula>145</formula>
    </cfRule>
    <cfRule type="cellIs" dxfId="83" priority="18" operator="greaterThan">
      <formula>165</formula>
    </cfRule>
  </conditionalFormatting>
  <conditionalFormatting sqref="S29">
    <cfRule type="cellIs" dxfId="82" priority="15" operator="lessThan">
      <formula>1.05</formula>
    </cfRule>
    <cfRule type="cellIs" dxfId="81" priority="16" operator="greaterThan">
      <formula>1.4</formula>
    </cfRule>
  </conditionalFormatting>
  <conditionalFormatting sqref="S31">
    <cfRule type="cellIs" dxfId="80" priority="13" operator="lessThan">
      <formula>0.71</formula>
    </cfRule>
    <cfRule type="cellIs" dxfId="79" priority="14" operator="greaterThan">
      <formula>0.9</formula>
    </cfRule>
  </conditionalFormatting>
  <conditionalFormatting sqref="S33">
    <cfRule type="cellIs" dxfId="78" priority="11" operator="lessThan">
      <formula>15</formula>
    </cfRule>
    <cfRule type="cellIs" dxfId="77" priority="12" operator="greaterThan">
      <formula>19</formula>
    </cfRule>
  </conditionalFormatting>
  <conditionalFormatting sqref="S35">
    <cfRule type="cellIs" dxfId="76" priority="9" operator="lessThan">
      <formula>6</formula>
    </cfRule>
    <cfRule type="cellIs" dxfId="75" priority="10" operator="greaterThan">
      <formula>7.5</formula>
    </cfRule>
  </conditionalFormatting>
  <conditionalFormatting sqref="S37">
    <cfRule type="cellIs" dxfId="74" priority="7" operator="lessThan">
      <formula>1.1</formula>
    </cfRule>
    <cfRule type="cellIs" dxfId="73" priority="8" operator="greaterThan">
      <formula>1.5</formula>
    </cfRule>
  </conditionalFormatting>
  <conditionalFormatting sqref="S39">
    <cfRule type="cellIs" dxfId="72" priority="6" operator="greaterThan">
      <formula>0.69</formula>
    </cfRule>
  </conditionalFormatting>
  <pageMargins left="0.7" right="0.7" top="0.75" bottom="0.75" header="0.3" footer="0.3"/>
  <headerFooter>
    <oddFooter>&amp;L_x000D_&amp;1#&amp;"Aptos"&amp;10&amp;K000000 Classified as 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0CFFD-AFFE-4C48-B96F-1E2D3AC5B445}">
  <dimension ref="B3:AB43"/>
  <sheetViews>
    <sheetView tabSelected="1" workbookViewId="0">
      <selection activeCell="L11" sqref="L11"/>
    </sheetView>
  </sheetViews>
  <sheetFormatPr defaultColWidth="9.26953125" defaultRowHeight="14.5" x14ac:dyDescent="0.35"/>
  <cols>
    <col min="1" max="1" width="9.26953125" style="108"/>
    <col min="2" max="2" width="6.81640625" style="108" customWidth="1"/>
    <col min="3" max="3" width="19.453125" style="108" customWidth="1"/>
    <col min="4" max="4" width="15.26953125" style="108" hidden="1" customWidth="1"/>
    <col min="5" max="5" width="6.453125" style="108" hidden="1" customWidth="1"/>
    <col min="6" max="6" width="12" style="108" hidden="1" customWidth="1"/>
    <col min="7" max="7" width="15.54296875" style="108" hidden="1" customWidth="1"/>
    <col min="8" max="8" width="11.81640625" style="108" hidden="1" customWidth="1"/>
    <col min="9" max="9" width="11" style="108" hidden="1" customWidth="1"/>
    <col min="10" max="10" width="9.26953125" style="108" hidden="1" customWidth="1"/>
    <col min="11" max="11" width="6.54296875" style="108" customWidth="1"/>
    <col min="12" max="12" width="40" style="108" customWidth="1"/>
    <col min="13" max="13" width="20.1796875" style="108" customWidth="1"/>
    <col min="14" max="14" width="11" style="108" customWidth="1"/>
    <col min="15" max="15" width="11.81640625" style="108" customWidth="1"/>
    <col min="16" max="16384" width="9.26953125" style="108"/>
  </cols>
  <sheetData>
    <row r="3" spans="2:13" ht="28.5" x14ac:dyDescent="0.35">
      <c r="C3" s="109" t="s">
        <v>57</v>
      </c>
      <c r="D3" s="110" t="s">
        <v>0</v>
      </c>
      <c r="E3" s="110"/>
      <c r="G3" s="110"/>
      <c r="I3" s="108" t="s">
        <v>0</v>
      </c>
    </row>
    <row r="4" spans="2:13" x14ac:dyDescent="0.35">
      <c r="F4" s="111" t="s">
        <v>58</v>
      </c>
      <c r="G4" s="111"/>
    </row>
    <row r="5" spans="2:13" ht="13.5" customHeight="1" x14ac:dyDescent="0.35">
      <c r="C5" s="112"/>
      <c r="D5" s="113"/>
      <c r="E5" s="110"/>
      <c r="F5" s="114" t="s">
        <v>59</v>
      </c>
      <c r="G5" s="114" t="s">
        <v>60</v>
      </c>
      <c r="H5" s="110" t="s">
        <v>61</v>
      </c>
      <c r="I5" s="110" t="s">
        <v>62</v>
      </c>
    </row>
    <row r="6" spans="2:13" ht="15.5" x14ac:dyDescent="0.35">
      <c r="B6" s="115" t="s">
        <v>63</v>
      </c>
      <c r="C6" s="116">
        <f>[1]POPULATE!D6</f>
        <v>1385</v>
      </c>
      <c r="D6" s="117">
        <f>[1]POPULATE!D6</f>
        <v>1385</v>
      </c>
      <c r="E6" s="118"/>
      <c r="F6" s="119"/>
      <c r="G6" s="119"/>
      <c r="H6" s="120">
        <f>D6</f>
        <v>1385</v>
      </c>
      <c r="I6" s="120">
        <v>510</v>
      </c>
      <c r="J6" s="121">
        <f>(I6-[1]POPULATE!D6)/I6</f>
        <v>-1.7156862745098038</v>
      </c>
      <c r="K6" s="122"/>
    </row>
    <row r="7" spans="2:13" ht="15.5" x14ac:dyDescent="0.35">
      <c r="B7" s="115" t="s">
        <v>64</v>
      </c>
      <c r="C7" s="123">
        <f>H7</f>
        <v>0.85506626763574178</v>
      </c>
      <c r="D7" s="117">
        <f>[1]POPULATE!D7</f>
        <v>1.1425000000000001</v>
      </c>
      <c r="E7" s="124"/>
      <c r="F7" s="125">
        <v>2.7E-2</v>
      </c>
      <c r="G7" s="126">
        <f>+[1]POPULATE!D7+F7</f>
        <v>1.1695</v>
      </c>
      <c r="H7" s="127">
        <f>1/G7</f>
        <v>0.85506626763574178</v>
      </c>
      <c r="I7" s="127">
        <v>1.1924999999999999</v>
      </c>
      <c r="J7" s="121">
        <f>(I7-[1]POPULATE!D7)/I7</f>
        <v>4.1928721174004049E-2</v>
      </c>
      <c r="K7" s="122"/>
      <c r="M7" s="128"/>
    </row>
    <row r="8" spans="2:13" ht="15.5" x14ac:dyDescent="0.35">
      <c r="B8" s="115" t="s">
        <v>65</v>
      </c>
      <c r="C8" s="116">
        <f>H8</f>
        <v>160.58000000000001</v>
      </c>
      <c r="D8" s="117">
        <f>[1]POPULATE!D8</f>
        <v>162.58000000000001</v>
      </c>
      <c r="E8" s="124"/>
      <c r="F8" s="125">
        <v>2</v>
      </c>
      <c r="G8" s="126">
        <f>+[1]POPULATE!D8-F8</f>
        <v>160.58000000000001</v>
      </c>
      <c r="H8" s="129">
        <f>G8</f>
        <v>160.58000000000001</v>
      </c>
      <c r="I8" s="129">
        <v>104.06</v>
      </c>
      <c r="J8" s="121">
        <f>(I8-[1]POPULATE!D8)/I8</f>
        <v>-0.56236786469344613</v>
      </c>
      <c r="K8" s="122"/>
      <c r="M8" s="130"/>
    </row>
    <row r="9" spans="2:13" ht="15.5" x14ac:dyDescent="0.35">
      <c r="B9" s="115" t="s">
        <v>66</v>
      </c>
      <c r="C9" s="123">
        <f t="shared" ref="C9:C30" si="0">H9</f>
        <v>0.7320108337603396</v>
      </c>
      <c r="D9" s="117">
        <f>[1]POPULATE!D9</f>
        <v>1.3441000000000001</v>
      </c>
      <c r="E9" s="124"/>
      <c r="F9" s="125">
        <v>2.1999999999999999E-2</v>
      </c>
      <c r="G9" s="126">
        <f>[1]POPULATE!D9+F9</f>
        <v>1.3661000000000001</v>
      </c>
      <c r="H9" s="129">
        <f>1/G9</f>
        <v>0.7320108337603396</v>
      </c>
      <c r="I9" s="129">
        <v>1.3365</v>
      </c>
      <c r="J9" s="121">
        <f>(I9-[1]POPULATE!D9)/I9</f>
        <v>-5.6864945753835024E-3</v>
      </c>
      <c r="K9" s="122"/>
    </row>
    <row r="10" spans="2:13" ht="15.5" x14ac:dyDescent="0.35">
      <c r="B10" s="115" t="s">
        <v>67</v>
      </c>
      <c r="C10" s="123">
        <f t="shared" si="0"/>
        <v>0.78469999999999995</v>
      </c>
      <c r="D10" s="117">
        <f>[1]POPULATE!D10</f>
        <v>0.80969999999999998</v>
      </c>
      <c r="E10" s="124"/>
      <c r="F10" s="125">
        <v>2.5000000000000001E-2</v>
      </c>
      <c r="G10" s="126">
        <f>[1]POPULATE!D10-F10</f>
        <v>0.78469999999999995</v>
      </c>
      <c r="H10" s="129">
        <f t="shared" ref="H10:H43" si="1">G10</f>
        <v>0.78469999999999995</v>
      </c>
      <c r="I10" s="129">
        <v>0.90620000000000001</v>
      </c>
      <c r="J10" s="121">
        <f>(I10-[1]POPULATE!D10)/I10</f>
        <v>0.10648863385566104</v>
      </c>
      <c r="K10" s="122"/>
    </row>
    <row r="11" spans="2:13" ht="15.5" x14ac:dyDescent="0.35">
      <c r="B11" s="115" t="s">
        <v>68</v>
      </c>
      <c r="C11" s="123">
        <f>H11</f>
        <v>16.251000000000001</v>
      </c>
      <c r="D11" s="117">
        <f>[1]POPULATE!D11</f>
        <v>16.431000000000001</v>
      </c>
      <c r="E11" s="124"/>
      <c r="F11" s="125">
        <v>0.18</v>
      </c>
      <c r="G11" s="126">
        <f>[1]POPULATE!D11-F11</f>
        <v>16.251000000000001</v>
      </c>
      <c r="H11" s="129">
        <f t="shared" si="1"/>
        <v>16.251000000000001</v>
      </c>
      <c r="I11" s="129">
        <v>15.200200000000001</v>
      </c>
      <c r="J11" s="121">
        <f>(I11-[1]POPULATE!D11)/I11</f>
        <v>-8.0972618781331843E-2</v>
      </c>
      <c r="K11" s="122"/>
    </row>
    <row r="12" spans="2:13" ht="15.5" x14ac:dyDescent="0.35">
      <c r="B12" s="115" t="s">
        <v>69</v>
      </c>
      <c r="C12" s="123">
        <f t="shared" si="0"/>
        <v>6.4485999999999999</v>
      </c>
      <c r="D12" s="117">
        <f>[1]POPULATE!D12</f>
        <v>6.5435999999999996</v>
      </c>
      <c r="E12" s="131"/>
      <c r="F12" s="125">
        <v>9.5000000000000001E-2</v>
      </c>
      <c r="G12" s="126">
        <f>[1]POPULATE!D12-F12</f>
        <v>6.4485999999999999</v>
      </c>
      <c r="H12" s="129">
        <f t="shared" si="1"/>
        <v>6.4485999999999999</v>
      </c>
      <c r="I12" s="129">
        <v>6.2423999999999999</v>
      </c>
      <c r="J12" s="121">
        <f>(I12-[1]POPULATE!D12)/I12</f>
        <v>-4.8250672818146816E-2</v>
      </c>
      <c r="K12" s="132"/>
    </row>
    <row r="13" spans="2:13" ht="15.5" x14ac:dyDescent="0.35">
      <c r="B13" s="115" t="s">
        <v>70</v>
      </c>
      <c r="C13" s="133">
        <f>H13</f>
        <v>1.3795000000000002</v>
      </c>
      <c r="D13" s="117">
        <f>[1]POPULATE!D13</f>
        <v>1.4065000000000001</v>
      </c>
      <c r="E13" s="131"/>
      <c r="F13" s="131">
        <v>2.7E-2</v>
      </c>
      <c r="G13" s="133">
        <f>[1]POPULATE!D13-F13</f>
        <v>1.3795000000000002</v>
      </c>
      <c r="H13" s="129">
        <f t="shared" si="1"/>
        <v>1.3795000000000002</v>
      </c>
      <c r="I13" s="129">
        <v>1.3007</v>
      </c>
      <c r="J13" s="134">
        <f>(I13-[1]POPULATE!D13)/I13</f>
        <v>-8.1340816483432096E-2</v>
      </c>
      <c r="K13" s="122"/>
    </row>
    <row r="14" spans="2:13" ht="15.5" x14ac:dyDescent="0.35">
      <c r="B14" s="115" t="s">
        <v>71</v>
      </c>
      <c r="C14" s="123">
        <f t="shared" si="0"/>
        <v>1.3852334118298935</v>
      </c>
      <c r="D14" s="117">
        <f>[1]POPULATE!D14</f>
        <v>0.70189999999999997</v>
      </c>
      <c r="E14" s="124"/>
      <c r="F14" s="125">
        <v>0.02</v>
      </c>
      <c r="G14" s="126">
        <f>[1]POPULATE!D14+F14</f>
        <v>0.72189999999999999</v>
      </c>
      <c r="H14" s="129">
        <f>1/G14</f>
        <v>1.3852334118298935</v>
      </c>
      <c r="I14" s="129">
        <v>0.73750000000000004</v>
      </c>
      <c r="J14" s="121">
        <f>(I14-[1]POPULATE!D14)/I14</f>
        <v>4.8271186440678064E-2</v>
      </c>
      <c r="K14" s="122"/>
    </row>
    <row r="15" spans="2:13" ht="15.5" x14ac:dyDescent="0.35">
      <c r="B15" s="115" t="s">
        <v>72</v>
      </c>
      <c r="C15" s="123">
        <f t="shared" si="0"/>
        <v>6.6659000000000006</v>
      </c>
      <c r="D15" s="117">
        <f>[1]POPULATE!D15</f>
        <v>6.7659000000000002</v>
      </c>
      <c r="E15" s="131"/>
      <c r="F15" s="125">
        <v>0.1</v>
      </c>
      <c r="G15" s="126">
        <f>[1]POPULATE!D15-F15</f>
        <v>6.6659000000000006</v>
      </c>
      <c r="H15" s="129">
        <f t="shared" si="1"/>
        <v>6.6659000000000006</v>
      </c>
      <c r="I15" s="129">
        <v>6.5747999999999998</v>
      </c>
      <c r="J15" s="121">
        <f>(I15-[1]POPULATE!D15)/I15</f>
        <v>-2.9065522905639792E-2</v>
      </c>
      <c r="K15" s="122"/>
    </row>
    <row r="16" spans="2:13" ht="15.5" x14ac:dyDescent="0.35">
      <c r="B16" s="115" t="s">
        <v>73</v>
      </c>
      <c r="C16" s="123">
        <f t="shared" si="0"/>
        <v>6.6659000000000006</v>
      </c>
      <c r="D16" s="117">
        <f>[1]POPULATE!D16</f>
        <v>6.7659000000000002</v>
      </c>
      <c r="E16" s="131"/>
      <c r="F16" s="125">
        <v>0.1</v>
      </c>
      <c r="G16" s="126">
        <f>[1]POPULATE!D16-F16</f>
        <v>6.6659000000000006</v>
      </c>
      <c r="H16" s="129">
        <f t="shared" si="1"/>
        <v>6.6659000000000006</v>
      </c>
      <c r="I16" s="129">
        <v>6.5807000000000002</v>
      </c>
      <c r="J16" s="121">
        <f>(I16-[1]POPULATE!D16)/I16</f>
        <v>-2.8142902730712543E-2</v>
      </c>
      <c r="K16" s="122"/>
    </row>
    <row r="17" spans="2:28" ht="15.5" x14ac:dyDescent="0.35">
      <c r="B17" s="115" t="s">
        <v>74</v>
      </c>
      <c r="C17" s="123">
        <f t="shared" si="0"/>
        <v>11.38</v>
      </c>
      <c r="D17" s="117">
        <f>[1]POPULATE!D17</f>
        <v>11.58</v>
      </c>
      <c r="E17" s="124"/>
      <c r="F17" s="125">
        <v>0.2</v>
      </c>
      <c r="G17" s="126">
        <f>[1]POPULATE!D17-F17</f>
        <v>11.38</v>
      </c>
      <c r="H17" s="129">
        <f t="shared" si="1"/>
        <v>11.38</v>
      </c>
      <c r="I17" s="129">
        <v>5.8</v>
      </c>
      <c r="J17" s="121">
        <f>(I17-[1]POPULATE!D17)/I17</f>
        <v>-0.99655172413793114</v>
      </c>
      <c r="K17" s="122"/>
    </row>
    <row r="18" spans="2:28" ht="15.5" x14ac:dyDescent="0.35">
      <c r="B18" s="115" t="s">
        <v>75</v>
      </c>
      <c r="C18" s="123">
        <f>H18</f>
        <v>47.051300000000005</v>
      </c>
      <c r="D18" s="117">
        <f>[1]POPULATE!D18</f>
        <v>47.201300000000003</v>
      </c>
      <c r="E18" s="124"/>
      <c r="F18" s="125">
        <v>0.15</v>
      </c>
      <c r="G18" s="126">
        <f>[1]POPULATE!D18-F18</f>
        <v>47.051300000000005</v>
      </c>
      <c r="H18" s="129">
        <f t="shared" si="1"/>
        <v>47.051300000000005</v>
      </c>
      <c r="I18" s="129">
        <v>6.9397000000000002</v>
      </c>
      <c r="J18" s="121">
        <f>(I18-[1]POPULATE!D18)/I18</f>
        <v>-5.8016340764009975</v>
      </c>
      <c r="K18" s="122"/>
    </row>
    <row r="19" spans="2:28" ht="15.5" x14ac:dyDescent="0.35">
      <c r="B19" s="115" t="s">
        <v>76</v>
      </c>
      <c r="C19" s="123">
        <f t="shared" si="0"/>
        <v>3.6999</v>
      </c>
      <c r="D19" s="117">
        <f>[1]POPULATE!D19</f>
        <v>3.7898999999999998</v>
      </c>
      <c r="E19" s="131"/>
      <c r="F19" s="125">
        <v>0.09</v>
      </c>
      <c r="G19" s="126">
        <f>[1]POPULATE!D19-F19</f>
        <v>3.6999</v>
      </c>
      <c r="H19" s="129">
        <f t="shared" si="1"/>
        <v>3.6999</v>
      </c>
      <c r="I19" s="129">
        <v>3.7557999999999998</v>
      </c>
      <c r="J19" s="121">
        <f>(I19-[1]POPULATE!D19)/I19</f>
        <v>-9.0792906970552263E-3</v>
      </c>
      <c r="K19" s="122"/>
    </row>
    <row r="20" spans="2:28" ht="15.5" x14ac:dyDescent="0.35">
      <c r="B20" s="115" t="s">
        <v>77</v>
      </c>
      <c r="C20" s="123">
        <f>H20</f>
        <v>9.5221999999999998</v>
      </c>
      <c r="D20" s="117">
        <f>[1]POPULATE!D20</f>
        <v>9.6622000000000003</v>
      </c>
      <c r="E20" s="131"/>
      <c r="F20" s="125">
        <v>0.14000000000000001</v>
      </c>
      <c r="G20" s="126">
        <f>[1]POPULATE!D20-F20</f>
        <v>9.5221999999999998</v>
      </c>
      <c r="H20" s="129">
        <f t="shared" si="1"/>
        <v>9.5221999999999998</v>
      </c>
      <c r="I20" s="129">
        <v>8.5128000000000004</v>
      </c>
      <c r="J20" s="121">
        <f>(I20-[1]POPULATE!D20)/I20</f>
        <v>-0.13502020486796354</v>
      </c>
      <c r="K20" s="122"/>
    </row>
    <row r="21" spans="2:28" ht="15.5" x14ac:dyDescent="0.35">
      <c r="B21" s="115" t="s">
        <v>78</v>
      </c>
      <c r="C21" s="116">
        <f t="shared" si="0"/>
        <v>126.75</v>
      </c>
      <c r="D21" s="117">
        <f>[1]POPULATE!D21</f>
        <v>129.35</v>
      </c>
      <c r="E21" s="131"/>
      <c r="F21" s="125">
        <v>2.6</v>
      </c>
      <c r="G21" s="126">
        <f>[1]POPULATE!D21-F21</f>
        <v>126.75</v>
      </c>
      <c r="H21" s="129">
        <f t="shared" si="1"/>
        <v>126.75</v>
      </c>
      <c r="I21" s="129">
        <v>109.9</v>
      </c>
      <c r="J21" s="121">
        <f>(I21-[1]POPULATE!D21)/I21</f>
        <v>-0.17697907188353038</v>
      </c>
      <c r="K21" s="122"/>
    </row>
    <row r="22" spans="2:28" ht="15.5" x14ac:dyDescent="0.35">
      <c r="B22" s="115" t="s">
        <v>79</v>
      </c>
      <c r="C22" s="116">
        <f t="shared" si="0"/>
        <v>574.17190000000005</v>
      </c>
      <c r="D22" s="117">
        <f>[1]POPULATE!D22</f>
        <v>574.17190000000005</v>
      </c>
      <c r="E22" s="135"/>
      <c r="F22" s="136">
        <v>0</v>
      </c>
      <c r="G22" s="137">
        <f>[1]POPULATE!D22-F22</f>
        <v>574.17190000000005</v>
      </c>
      <c r="H22" s="127">
        <f t="shared" si="1"/>
        <v>574.17190000000005</v>
      </c>
      <c r="I22" s="127">
        <v>470</v>
      </c>
      <c r="J22" s="121">
        <f>(I22-[1]POPULATE!D22)/I22</f>
        <v>-0.22164234042553202</v>
      </c>
      <c r="K22" s="122"/>
    </row>
    <row r="23" spans="2:28" ht="15.5" x14ac:dyDescent="0.35">
      <c r="B23" s="115" t="s">
        <v>80</v>
      </c>
      <c r="C23" s="116">
        <f t="shared" si="0"/>
        <v>94.232500000000002</v>
      </c>
      <c r="D23" s="117">
        <f>[1]POPULATE!D23</f>
        <v>96.232500000000002</v>
      </c>
      <c r="E23" s="131"/>
      <c r="F23" s="125">
        <v>2</v>
      </c>
      <c r="G23" s="126">
        <f>[1]POPULATE!D23-F23</f>
        <v>94.232500000000002</v>
      </c>
      <c r="H23" s="129">
        <f t="shared" si="1"/>
        <v>94.232500000000002</v>
      </c>
      <c r="I23" s="129">
        <v>73.930000000000007</v>
      </c>
      <c r="J23" s="121">
        <f>(I23-[1]POPULATE!D23)/I23</f>
        <v>-0.30167049912078986</v>
      </c>
      <c r="K23" s="122"/>
      <c r="AB23" s="138"/>
    </row>
    <row r="24" spans="2:28" ht="15.5" x14ac:dyDescent="0.35">
      <c r="B24" s="139" t="s">
        <v>81</v>
      </c>
      <c r="C24" s="116">
        <f t="shared" si="0"/>
        <v>103.42930000000001</v>
      </c>
      <c r="D24" s="117">
        <f>[1]POPULATE!D24</f>
        <v>105.02930000000001</v>
      </c>
      <c r="E24" s="131"/>
      <c r="F24" s="125">
        <v>1.6</v>
      </c>
      <c r="G24" s="126">
        <f>[1]POPULATE!D24-F24</f>
        <v>103.42930000000001</v>
      </c>
      <c r="H24" s="129">
        <f t="shared" si="1"/>
        <v>103.42930000000001</v>
      </c>
      <c r="I24" s="129">
        <v>99.93</v>
      </c>
      <c r="J24" s="121">
        <f>(I24-[1]POPULATE!D24)/I24</f>
        <v>-5.102872010407284E-2</v>
      </c>
      <c r="K24" s="122"/>
    </row>
    <row r="25" spans="2:28" ht="15.5" x14ac:dyDescent="0.35">
      <c r="B25" s="115" t="s">
        <v>82</v>
      </c>
      <c r="C25" s="123">
        <f t="shared" si="0"/>
        <v>3.5979999999999999</v>
      </c>
      <c r="D25" s="117">
        <f>[1]POPULATE!D25</f>
        <v>3.673</v>
      </c>
      <c r="E25" s="124"/>
      <c r="F25" s="125">
        <v>7.4999999999999997E-2</v>
      </c>
      <c r="G25" s="126">
        <f>[1]POPULATE!D25-F25</f>
        <v>3.5979999999999999</v>
      </c>
      <c r="H25" s="129">
        <f t="shared" si="1"/>
        <v>3.5979999999999999</v>
      </c>
      <c r="I25" s="129">
        <v>3.6728000000000001</v>
      </c>
      <c r="J25" s="121">
        <f>(I25-[1]POPULATE!D25)/I25</f>
        <v>-5.4454367240246667E-5</v>
      </c>
      <c r="K25" s="122"/>
    </row>
    <row r="26" spans="2:28" ht="15.5" x14ac:dyDescent="0.35">
      <c r="B26" s="115" t="s">
        <v>83</v>
      </c>
      <c r="C26" s="123">
        <f t="shared" si="0"/>
        <v>1.2596000000000001</v>
      </c>
      <c r="D26" s="117">
        <f>[1]POPULATE!D26</f>
        <v>1.2896000000000001</v>
      </c>
      <c r="E26" s="124"/>
      <c r="F26" s="125">
        <v>0.03</v>
      </c>
      <c r="G26" s="126">
        <f>[1]POPULATE!D26-F26</f>
        <v>1.2596000000000001</v>
      </c>
      <c r="H26" s="129">
        <f t="shared" si="1"/>
        <v>1.2596000000000001</v>
      </c>
      <c r="I26" s="129">
        <v>1.3382000000000001</v>
      </c>
      <c r="J26" s="121">
        <f>(I26-[1]POPULATE!D26)/I26</f>
        <v>3.6317441339112223E-2</v>
      </c>
      <c r="K26" s="122"/>
    </row>
    <row r="27" spans="2:28" ht="15.5" x14ac:dyDescent="0.35">
      <c r="B27" s="115" t="s">
        <v>84</v>
      </c>
      <c r="C27" s="116">
        <f>H27</f>
        <v>3675.78</v>
      </c>
      <c r="D27" s="117">
        <f>[1]POPULATE!D27</f>
        <v>3711.78</v>
      </c>
      <c r="E27" s="131"/>
      <c r="F27" s="125">
        <v>36</v>
      </c>
      <c r="G27" s="126">
        <f>[1]POPULATE!D27-F27</f>
        <v>3675.78</v>
      </c>
      <c r="H27" s="129">
        <f t="shared" si="1"/>
        <v>3675.78</v>
      </c>
      <c r="I27" s="129">
        <v>3692</v>
      </c>
      <c r="J27" s="121">
        <f>(I27-[1]POPULATE!D27)/I27</f>
        <v>-5.3575297941495671E-3</v>
      </c>
      <c r="K27" s="122"/>
    </row>
    <row r="28" spans="2:28" ht="15.5" x14ac:dyDescent="0.35">
      <c r="B28" s="115" t="s">
        <v>85</v>
      </c>
      <c r="C28" s="116">
        <f t="shared" si="0"/>
        <v>332.27</v>
      </c>
      <c r="D28" s="117">
        <f>[1]POPULATE!D28</f>
        <v>336.27</v>
      </c>
      <c r="E28" s="131"/>
      <c r="F28" s="125">
        <v>4</v>
      </c>
      <c r="G28" s="126">
        <f>[1]POPULATE!D28-F28</f>
        <v>332.27</v>
      </c>
      <c r="H28" s="129">
        <f t="shared" si="1"/>
        <v>332.27</v>
      </c>
      <c r="I28" s="129">
        <v>184.8</v>
      </c>
      <c r="J28" s="121">
        <f>(I28-[1]POPULATE!D28)/I28</f>
        <v>-0.8196428571428569</v>
      </c>
      <c r="K28" s="122"/>
    </row>
    <row r="29" spans="2:28" ht="15.5" x14ac:dyDescent="0.35">
      <c r="B29" s="115" t="s">
        <v>86</v>
      </c>
      <c r="C29" s="123">
        <f t="shared" si="0"/>
        <v>2.9560999999999997</v>
      </c>
      <c r="D29" s="117">
        <f>[1]POPULATE!D29</f>
        <v>3.0510999999999999</v>
      </c>
      <c r="E29" s="131"/>
      <c r="F29" s="125">
        <v>9.5000000000000001E-2</v>
      </c>
      <c r="G29" s="126">
        <f>[1]POPULATE!D29-F29</f>
        <v>2.9560999999999997</v>
      </c>
      <c r="H29" s="129">
        <f t="shared" si="1"/>
        <v>2.9560999999999997</v>
      </c>
      <c r="I29" s="129">
        <v>3.3174000000000001</v>
      </c>
      <c r="J29" s="121">
        <f>(I29-[1]POPULATE!D29)/I29</f>
        <v>8.0273708325797374E-2</v>
      </c>
      <c r="K29" s="122"/>
    </row>
    <row r="30" spans="2:28" ht="15.5" x14ac:dyDescent="0.35">
      <c r="B30" s="115" t="s">
        <v>87</v>
      </c>
      <c r="C30" s="116">
        <f t="shared" si="0"/>
        <v>2584.29</v>
      </c>
      <c r="D30" s="117">
        <f>[1]POPULATE!D30</f>
        <v>2654.29</v>
      </c>
      <c r="E30" s="131"/>
      <c r="F30" s="125">
        <v>70</v>
      </c>
      <c r="G30" s="126">
        <f>[1]POPULATE!D30-F30</f>
        <v>2584.29</v>
      </c>
      <c r="H30" s="129">
        <f>G30</f>
        <v>2584.29</v>
      </c>
      <c r="I30" s="129">
        <v>2314</v>
      </c>
      <c r="J30" s="121">
        <f>(I30-[1]POPULATE!D30)/I30</f>
        <v>-0.14705704407951598</v>
      </c>
      <c r="K30" s="122"/>
      <c r="L30" s="130"/>
    </row>
    <row r="31" spans="2:28" ht="15.5" x14ac:dyDescent="0.35">
      <c r="B31" s="115" t="s">
        <v>88</v>
      </c>
      <c r="C31" s="123">
        <f>H31</f>
        <v>14.2738</v>
      </c>
      <c r="D31" s="117">
        <f>[1]POPULATE!D31</f>
        <v>14.3988</v>
      </c>
      <c r="E31" s="131"/>
      <c r="F31" s="125">
        <v>0.125</v>
      </c>
      <c r="G31" s="126">
        <f>[1]POPULATE!D31-F31</f>
        <v>14.2738</v>
      </c>
      <c r="H31" s="129">
        <f>G31</f>
        <v>14.2738</v>
      </c>
      <c r="I31" s="129">
        <v>11.013199999999999</v>
      </c>
      <c r="J31" s="121">
        <f>(I31-[1]POPULATE!D31)/I31</f>
        <v>-0.30741292267460868</v>
      </c>
      <c r="K31" s="122"/>
      <c r="L31" s="130"/>
    </row>
    <row r="32" spans="2:28" ht="15.5" x14ac:dyDescent="0.35">
      <c r="B32" s="115" t="s">
        <v>89</v>
      </c>
      <c r="C32" s="123">
        <f>H32</f>
        <v>6.6350000000000007</v>
      </c>
      <c r="D32" s="117">
        <f>[1]POPULATE!D32</f>
        <v>6.7350000000000003</v>
      </c>
      <c r="E32" s="131"/>
      <c r="F32" s="125">
        <v>0.1</v>
      </c>
      <c r="G32" s="126">
        <f>[1]POPULATE!D32-F32</f>
        <v>6.6350000000000007</v>
      </c>
      <c r="H32" s="129">
        <f>G32</f>
        <v>6.6350000000000007</v>
      </c>
      <c r="I32" s="129">
        <v>6.7428999999999997</v>
      </c>
      <c r="J32" s="121">
        <f>(I32-[1]POPULATE!D32)/I32</f>
        <v>1.1716027228639535E-3</v>
      </c>
      <c r="K32" s="122"/>
    </row>
    <row r="33" spans="2:22" ht="15.5" x14ac:dyDescent="0.35">
      <c r="B33" s="115" t="s">
        <v>90</v>
      </c>
      <c r="C33" s="123">
        <f t="shared" ref="C33:C43" si="2">H33</f>
        <v>46.61</v>
      </c>
      <c r="D33" s="117">
        <f>[1]POPULATE!D33</f>
        <v>47.41</v>
      </c>
      <c r="E33" s="131"/>
      <c r="F33" s="125">
        <v>0.8</v>
      </c>
      <c r="G33" s="126">
        <f>[1]POPULATE!D33-F33</f>
        <v>46.61</v>
      </c>
      <c r="H33" s="129">
        <f t="shared" si="1"/>
        <v>46.61</v>
      </c>
      <c r="I33" s="129">
        <v>39.700000000000003</v>
      </c>
      <c r="J33" s="121">
        <f>(I33-[1]POPULATE!D33)/I33</f>
        <v>-0.19420654911838775</v>
      </c>
      <c r="K33" s="122"/>
    </row>
    <row r="34" spans="2:22" ht="15.5" x14ac:dyDescent="0.35">
      <c r="B34" s="115" t="s">
        <v>91</v>
      </c>
      <c r="C34" s="116">
        <f t="shared" si="2"/>
        <v>563.67190000000005</v>
      </c>
      <c r="D34" s="117">
        <f>[1]POPULATE!D34</f>
        <v>574.17190000000005</v>
      </c>
      <c r="E34" s="131"/>
      <c r="F34" s="125">
        <v>10.5</v>
      </c>
      <c r="G34" s="126">
        <f>[1]POPULATE!D34-F34</f>
        <v>563.67190000000005</v>
      </c>
      <c r="H34" s="129">
        <f t="shared" si="1"/>
        <v>563.67190000000005</v>
      </c>
      <c r="I34" s="129">
        <v>550.59699999999998</v>
      </c>
      <c r="J34" s="121">
        <f>(I34-[1]POPULATE!D34)/I34</f>
        <v>-4.2816978661344089E-2</v>
      </c>
      <c r="K34" s="122"/>
    </row>
    <row r="35" spans="2:22" ht="15.5" x14ac:dyDescent="0.35">
      <c r="B35" s="115" t="s">
        <v>92</v>
      </c>
      <c r="C35" s="133">
        <f t="shared" si="2"/>
        <v>4.5061</v>
      </c>
      <c r="D35" s="117">
        <f>[1]POPULATE!D35</f>
        <v>4.5861000000000001</v>
      </c>
      <c r="E35" s="131"/>
      <c r="F35" s="131">
        <v>0.08</v>
      </c>
      <c r="G35" s="133">
        <f>[1]POPULATE!D35-F35</f>
        <v>4.5061</v>
      </c>
      <c r="H35" s="129">
        <f t="shared" si="1"/>
        <v>4.5061</v>
      </c>
      <c r="I35" s="129">
        <v>4.0871000000000004</v>
      </c>
      <c r="J35" s="134">
        <f>(I35-[1]POPULATE!D35)/I35</f>
        <v>-0.12209145849135074</v>
      </c>
      <c r="K35" s="122"/>
      <c r="U35" s="140"/>
    </row>
    <row r="36" spans="2:22" ht="15.5" x14ac:dyDescent="0.35">
      <c r="B36" s="115" t="s">
        <v>93</v>
      </c>
      <c r="C36" s="141">
        <f t="shared" si="2"/>
        <v>23810</v>
      </c>
      <c r="D36" s="117">
        <f>[1]POPULATE!D36</f>
        <v>24410</v>
      </c>
      <c r="E36" s="131"/>
      <c r="F36" s="125">
        <v>600</v>
      </c>
      <c r="G36" s="126">
        <f>[1]POPULATE!D36-F36</f>
        <v>23810</v>
      </c>
      <c r="H36" s="129">
        <f t="shared" si="1"/>
        <v>23810</v>
      </c>
      <c r="I36" s="129">
        <v>10040.459000000001</v>
      </c>
      <c r="J36" s="121">
        <f>(I36-[1]POPULATE!D36)/I36</f>
        <v>-1.4311637545654037</v>
      </c>
      <c r="K36" s="122"/>
      <c r="V36" s="140"/>
    </row>
    <row r="37" spans="2:22" ht="15.5" x14ac:dyDescent="0.35">
      <c r="B37" s="115" t="s">
        <v>94</v>
      </c>
      <c r="C37" s="116">
        <f t="shared" si="2"/>
        <v>43.461000000000006</v>
      </c>
      <c r="D37" s="117">
        <f>[1]POPULATE!D37</f>
        <v>44.761000000000003</v>
      </c>
      <c r="E37" s="131"/>
      <c r="F37" s="125">
        <v>1.3</v>
      </c>
      <c r="G37" s="126">
        <f>[1]POPULATE!D37-F37</f>
        <v>43.461000000000006</v>
      </c>
      <c r="H37" s="129">
        <f t="shared" si="1"/>
        <v>43.461000000000006</v>
      </c>
      <c r="I37" s="129">
        <v>28.459</v>
      </c>
      <c r="J37" s="121">
        <f>(I37-[1]POPULATE!D37)/I37</f>
        <v>-0.57282406268667219</v>
      </c>
      <c r="K37" s="122"/>
    </row>
    <row r="38" spans="2:22" ht="15.5" x14ac:dyDescent="0.35">
      <c r="B38" s="115" t="s">
        <v>95</v>
      </c>
      <c r="C38" s="123">
        <f t="shared" si="2"/>
        <v>2.625</v>
      </c>
      <c r="D38" s="117">
        <f>[1]POPULATE!D38</f>
        <v>2.7</v>
      </c>
      <c r="E38" s="131"/>
      <c r="F38" s="125">
        <v>7.4999999999999997E-2</v>
      </c>
      <c r="G38" s="126">
        <f>[1]POPULATE!D38-F38</f>
        <v>2.625</v>
      </c>
      <c r="H38" s="129">
        <f t="shared" si="1"/>
        <v>2.625</v>
      </c>
      <c r="I38" s="129">
        <v>2.7</v>
      </c>
      <c r="J38" s="121">
        <f>(I38-[1]POPULATE!D38)/I38</f>
        <v>0</v>
      </c>
      <c r="K38" s="122"/>
    </row>
    <row r="39" spans="2:22" ht="15.5" x14ac:dyDescent="0.35">
      <c r="B39" s="115" t="s">
        <v>96</v>
      </c>
      <c r="C39" s="116">
        <f>H39</f>
        <v>3188.47</v>
      </c>
      <c r="D39" s="117">
        <f>[1]POPULATE!D39</f>
        <v>3227.47</v>
      </c>
      <c r="E39" s="131"/>
      <c r="F39" s="125">
        <v>39</v>
      </c>
      <c r="G39" s="126">
        <f>[1]POPULATE!D39-F39</f>
        <v>3188.47</v>
      </c>
      <c r="H39" s="129">
        <f t="shared" si="1"/>
        <v>3188.47</v>
      </c>
      <c r="I39" s="129">
        <v>1312</v>
      </c>
      <c r="J39" s="121">
        <f>(I39-[1]POPULATE!D39)/I39</f>
        <v>-1.4599618902439022</v>
      </c>
      <c r="K39" s="122"/>
    </row>
    <row r="40" spans="2:22" ht="15.5" x14ac:dyDescent="0.35">
      <c r="B40" s="115" t="s">
        <v>97</v>
      </c>
      <c r="C40" s="116">
        <f t="shared" si="2"/>
        <v>60.231000000000002</v>
      </c>
      <c r="D40" s="117">
        <f>[1]POPULATE!D40</f>
        <v>61.741</v>
      </c>
      <c r="E40" s="131"/>
      <c r="F40" s="125">
        <v>1.51</v>
      </c>
      <c r="G40" s="126">
        <f>[1]POPULATE!D40-F40</f>
        <v>60.231000000000002</v>
      </c>
      <c r="H40" s="129">
        <f t="shared" si="1"/>
        <v>60.231000000000002</v>
      </c>
      <c r="I40" s="129">
        <v>48.14</v>
      </c>
      <c r="J40" s="121">
        <f>(I40-[1]POPULATE!D40)/I40</f>
        <v>-0.28253012048192772</v>
      </c>
      <c r="K40" s="122"/>
    </row>
    <row r="41" spans="2:22" ht="15.5" x14ac:dyDescent="0.35">
      <c r="B41" s="115" t="s">
        <v>98</v>
      </c>
      <c r="C41" s="116">
        <f>H41</f>
        <v>25918</v>
      </c>
      <c r="D41" s="117">
        <f>[1]POPULATE!D41</f>
        <v>26318</v>
      </c>
      <c r="E41" s="131"/>
      <c r="F41" s="125">
        <v>400</v>
      </c>
      <c r="G41" s="126">
        <f>[1]POPULATE!D41-F41</f>
        <v>25918</v>
      </c>
      <c r="H41" s="129">
        <f t="shared" si="1"/>
        <v>25918</v>
      </c>
      <c r="I41" s="129">
        <v>23160</v>
      </c>
      <c r="J41" s="121">
        <f>(I41-[1]POPULATE!D41)/I41</f>
        <v>-0.13635578583765112</v>
      </c>
      <c r="K41" s="122"/>
    </row>
    <row r="42" spans="2:22" ht="15.5" x14ac:dyDescent="0.35">
      <c r="B42" s="115" t="s">
        <v>99</v>
      </c>
      <c r="C42" s="123">
        <f t="shared" si="2"/>
        <v>7.7418000000000005</v>
      </c>
      <c r="D42" s="117">
        <f>[1]POPULATE!D42</f>
        <v>7.8418000000000001</v>
      </c>
      <c r="E42" s="131"/>
      <c r="F42" s="125">
        <v>0.1</v>
      </c>
      <c r="G42" s="126">
        <f>[1]POPULATE!D42-F42</f>
        <v>7.7418000000000005</v>
      </c>
      <c r="H42" s="129">
        <f t="shared" si="1"/>
        <v>7.7418000000000005</v>
      </c>
      <c r="I42" s="129">
        <v>7.7507000000000001</v>
      </c>
      <c r="J42" s="121">
        <f>(I42-[1]POPULATE!D42)/I42</f>
        <v>-1.1753777078199383E-2</v>
      </c>
      <c r="K42" s="122"/>
    </row>
    <row r="43" spans="2:22" ht="15.5" x14ac:dyDescent="0.35">
      <c r="B43" s="115" t="s">
        <v>100</v>
      </c>
      <c r="C43" s="123">
        <f t="shared" si="2"/>
        <v>3.6795999999999998</v>
      </c>
      <c r="D43" s="117">
        <f>[1]POPULATE!D43</f>
        <v>3.7545999999999999</v>
      </c>
      <c r="E43" s="131"/>
      <c r="F43" s="125">
        <v>7.4999999999999997E-2</v>
      </c>
      <c r="G43" s="126">
        <f>[1]POPULATE!D43-F43</f>
        <v>3.6795999999999998</v>
      </c>
      <c r="H43" s="129">
        <f t="shared" si="1"/>
        <v>3.6795999999999998</v>
      </c>
      <c r="I43" s="129">
        <v>3.7504</v>
      </c>
      <c r="J43" s="121">
        <f>(I43-[1]POPULATE!D43)/I43</f>
        <v>-1.1198805460750805E-3</v>
      </c>
      <c r="K43" s="122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6.5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35</formula>
    </cfRule>
    <cfRule type="cellIs" dxfId="50" priority="53" operator="greaterThan">
      <formula>50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82</formula>
    </cfRule>
    <cfRule type="cellIs" dxfId="41" priority="43" operator="greaterThan">
      <formula>96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295</formula>
    </cfRule>
    <cfRule type="cellIs" dxfId="31" priority="33" operator="greaterThan">
      <formula>340</formula>
    </cfRule>
  </conditionalFormatting>
  <conditionalFormatting sqref="C29">
    <cfRule type="cellIs" dxfId="28" priority="30" operator="lessThan">
      <formula>2.5</formula>
    </cfRule>
    <cfRule type="cellIs" dxfId="29" priority="31" operator="greaterThan">
      <formula>3.1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41</formula>
    </cfRule>
    <cfRule type="cellIs" dxfId="12" priority="17" operator="greaterThan">
      <formula>45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52</formula>
    </cfRule>
    <cfRule type="cellIs" dxfId="6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  <headerFooter>
    <oddFooter>&amp;L_x000D_&amp;1#&amp;"Aptos"&amp;10&amp;K000000 Classified as Internal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Anugwom, Chinaza C</dc:creator>
  <cp:lastModifiedBy>Anugwom, Chinaza C</cp:lastModifiedBy>
  <dcterms:created xsi:type="dcterms:W3CDTF">2026-07-21T09:17:35Z</dcterms:created>
  <dcterms:modified xsi:type="dcterms:W3CDTF">2026-07-21T09:19:08Z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b9d4ea-d348-4e93-a29a-8def053c0154_Enabled">
    <vt:lpwstr>true</vt:lpwstr>
  </property>
  <property fmtid="{D5CDD505-2E9C-101B-9397-08002B2CF9AE}" pid="3" name="MSIP_Label_d6b9d4ea-d348-4e93-a29a-8def053c0154_SetDate">
    <vt:lpwstr>2026-07-21T09:18:54Z</vt:lpwstr>
  </property>
  <property fmtid="{D5CDD505-2E9C-101B-9397-08002B2CF9AE}" pid="4" name="MSIP_Label_d6b9d4ea-d348-4e93-a29a-8def053c0154_Method">
    <vt:lpwstr>Standard</vt:lpwstr>
  </property>
  <property fmtid="{D5CDD505-2E9C-101B-9397-08002B2CF9AE}" pid="5" name="MSIP_Label_d6b9d4ea-d348-4e93-a29a-8def053c0154_Name">
    <vt:lpwstr>d6b9d4ea-d348-4e93-a29a-8def053c0154</vt:lpwstr>
  </property>
  <property fmtid="{D5CDD505-2E9C-101B-9397-08002B2CF9AE}" pid="6" name="MSIP_Label_d6b9d4ea-d348-4e93-a29a-8def053c0154_SiteId">
    <vt:lpwstr>7369e6ec-faa6-42fa-bc0e-4f332da5b1db</vt:lpwstr>
  </property>
  <property fmtid="{D5CDD505-2E9C-101B-9397-08002B2CF9AE}" pid="7" name="MSIP_Label_d6b9d4ea-d348-4e93-a29a-8def053c0154_ActionId">
    <vt:lpwstr>d753965d-5c69-4451-8af3-57653d6ab27f</vt:lpwstr>
  </property>
  <property fmtid="{D5CDD505-2E9C-101B-9397-08002B2CF9AE}" pid="8" name="MSIP_Label_d6b9d4ea-d348-4e93-a29a-8def053c0154_ContentBits">
    <vt:lpwstr>2</vt:lpwstr>
  </property>
  <property fmtid="{D5CDD505-2E9C-101B-9397-08002B2CF9AE}" pid="9" name="MSIP_Label_d6b9d4ea-d348-4e93-a29a-8def053c0154_Tag">
    <vt:lpwstr>10, 3, 0, 1</vt:lpwstr>
  </property>
</Properties>
</file>